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2" windowHeight="8508" activeTab="1"/>
  </bookViews>
  <sheets>
    <sheet name="シミュレーションデータ" sheetId="1" r:id="rId1"/>
    <sheet name="5年" sheetId="2" r:id="rId2"/>
    <sheet name="7年 " sheetId="3" r:id="rId3"/>
    <sheet name="9年 " sheetId="4" r:id="rId4"/>
  </sheets>
  <externalReferences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<sst xmlns="http://schemas.openxmlformats.org/spreadsheetml/2006/main" count="217" uniqueCount="122">
  <si>
    <t>単価</t>
  </si>
  <si>
    <t>工事費</t>
  </si>
  <si>
    <t>備考</t>
  </si>
  <si>
    <t>年数</t>
  </si>
  <si>
    <t>＊リース額に付きましては、弊社、協力リース会社の５年リースでの概算にて算出しております。</t>
  </si>
  <si>
    <t>灯数</t>
  </si>
  <si>
    <t>販売額</t>
  </si>
  <si>
    <t>販売額計</t>
  </si>
  <si>
    <t>節電額　　（月間）</t>
  </si>
  <si>
    <t>差　額　　　　（月間）</t>
  </si>
  <si>
    <t>差　額　　　　（年間）</t>
  </si>
  <si>
    <t>差　額　　　　　（5年間）</t>
  </si>
  <si>
    <t>リース額　　（月間）</t>
  </si>
  <si>
    <t>導入メリット額（年間）</t>
  </si>
  <si>
    <t>＊６年以降のリース額に付きましては、再リースとして算出しております。</t>
  </si>
  <si>
    <t>差　額　　　　　（7年間）</t>
  </si>
  <si>
    <t>差　額　　　　　（9年間）</t>
  </si>
  <si>
    <t>照明交換費用</t>
  </si>
  <si>
    <t>現状コスト小計</t>
  </si>
  <si>
    <t>現状電力料金</t>
  </si>
  <si>
    <t>LED電力料金</t>
  </si>
  <si>
    <t>LEDコスト小計</t>
  </si>
  <si>
    <t>導入メリット額（累計）</t>
  </si>
  <si>
    <t>5年</t>
  </si>
  <si>
    <t>10年</t>
  </si>
  <si>
    <t>5年（小計）</t>
  </si>
  <si>
    <t>10年（小計）</t>
  </si>
  <si>
    <t>点灯累計時間</t>
  </si>
  <si>
    <t>リース料率</t>
  </si>
  <si>
    <t>LEDレンタル料
（年間）</t>
  </si>
  <si>
    <t>お客様情報</t>
  </si>
  <si>
    <t>現状の照明とLEDの比較</t>
  </si>
  <si>
    <t>①お客様名</t>
  </si>
  <si>
    <t>差異</t>
  </si>
  <si>
    <t>②所在地（都道府県）</t>
  </si>
  <si>
    <t>品名</t>
  </si>
  <si>
    <t>③契約電力会社名</t>
  </si>
  <si>
    <t>個</t>
  </si>
  <si>
    <t>④契約電力会社のCO2排出係数（実排出係数）</t>
  </si>
  <si>
    <t>実排出</t>
  </si>
  <si>
    <t>調整</t>
  </si>
  <si>
    <r>
      <t>-CO2</t>
    </r>
    <r>
      <rPr>
        <sz val="11"/>
        <rFont val="ＭＳ Ｐゴシック"/>
        <family val="3"/>
      </rPr>
      <t>/kwh</t>
    </r>
  </si>
  <si>
    <t>⑦照明1個あたりの消費電力（安定器含む）</t>
  </si>
  <si>
    <t>W</t>
  </si>
  <si>
    <t>⑤1kwあたりの電気使用料金</t>
  </si>
  <si>
    <t>夏季</t>
  </si>
  <si>
    <t>円</t>
  </si>
  <si>
    <t>⑧1日あたりの平均点灯時間</t>
  </si>
  <si>
    <t>時間</t>
  </si>
  <si>
    <t>⑤1kwあたりの電気基本料金</t>
  </si>
  <si>
    <t>⑨1ヶ月あたりの平均点灯日数</t>
  </si>
  <si>
    <t>日</t>
  </si>
  <si>
    <t>⑩1時間あたりの電気使用量（利用数合計）</t>
  </si>
  <si>
    <t>⑪1ヶ月あたりの電気代</t>
  </si>
  <si>
    <t>東京電力</t>
  </si>
  <si>
    <t>／</t>
  </si>
  <si>
    <t>北海道電力</t>
  </si>
  <si>
    <t>／</t>
  </si>
  <si>
    <t>⑫1年あたりの電気代</t>
  </si>
  <si>
    <t>中部電力</t>
  </si>
  <si>
    <t>／</t>
  </si>
  <si>
    <t>四国電力</t>
  </si>
  <si>
    <t>東北電力</t>
  </si>
  <si>
    <t>北陸電力</t>
  </si>
  <si>
    <t>⑭ランプ1個あたりの交換費用</t>
  </si>
  <si>
    <t>関西電力</t>
  </si>
  <si>
    <t>中国電力</t>
  </si>
  <si>
    <t>⑮製品交換サイクル（時間）</t>
  </si>
  <si>
    <t>九州電力</t>
  </si>
  <si>
    <t>沖縄電力</t>
  </si>
  <si>
    <t>⑯LED化に伴うイニシャルコスト（施工費等）</t>
  </si>
  <si>
    <t>コスト推移（詳細）</t>
  </si>
  <si>
    <t>年間電気代（基本料金含む）</t>
  </si>
  <si>
    <t>累計点灯時間</t>
  </si>
  <si>
    <t>年間ランプ交換回数</t>
  </si>
  <si>
    <t>年間ランプ交換費用</t>
  </si>
  <si>
    <t>年間合計額</t>
  </si>
  <si>
    <t>累計合計額</t>
  </si>
  <si>
    <t>年間ランプ交換費用＆ｲﾆｼｬﾙｺｽﾄ</t>
  </si>
  <si>
    <t>＊本シミュレーションの数字は、実際とは多少の誤差があります。予めご了承下さい。</t>
  </si>
  <si>
    <t>コスト推移（グラフ）</t>
  </si>
  <si>
    <r>
      <t>累計コストダウン額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（LED - 現状照明）</t>
    </r>
  </si>
  <si>
    <t>－</t>
  </si>
  <si>
    <t>CO2排出量比較（実排出量）</t>
  </si>
  <si>
    <t>累計CO2排出量</t>
  </si>
  <si>
    <t>累計CO2排出量</t>
  </si>
  <si>
    <t>差異（年間）</t>
  </si>
  <si>
    <t>（単位：kg）</t>
  </si>
  <si>
    <t>1日</t>
  </si>
  <si>
    <t>1ヶ月</t>
  </si>
  <si>
    <t>1年</t>
  </si>
  <si>
    <t>CO2排出量比較（調整後排出量）</t>
  </si>
  <si>
    <t>累計CO2排出量</t>
  </si>
  <si>
    <t>電気使用量推移</t>
  </si>
  <si>
    <t>（単位：kwh)</t>
  </si>
  <si>
    <t>7年（小計）</t>
  </si>
  <si>
    <t>9年（小計）</t>
  </si>
  <si>
    <t>＊リース額に付きましては、弊社、協力リース会社の9年リースでの概算にて算出しております。</t>
  </si>
  <si>
    <t>＊10年以降のリース額に付きましては、再リースとして算出しております。</t>
  </si>
  <si>
    <t>＊リース額に付きましては、弊社、協力リース会社の7年リースでの概算にて算出しております。</t>
  </si>
  <si>
    <t>＊8年以降のリース額に付きましては、再リースとして算出しております。</t>
  </si>
  <si>
    <t>薄黄色部分を貴社の実情に合わせて変更下さい</t>
  </si>
  <si>
    <t>⑥利用数（全工場　一括交換時）</t>
  </si>
  <si>
    <t>＊点灯時間は8HR/日・23日／月にて算出しており、その場合には寿命50,000HRより、実質・約２２．６年ご使用になれます。</t>
  </si>
  <si>
    <t>注：</t>
  </si>
  <si>
    <t>安定器消耗による交換費用は除く</t>
  </si>
  <si>
    <t>水銀灯400W</t>
  </si>
  <si>
    <t>400Wクラス</t>
  </si>
  <si>
    <r>
      <t>⑬ランプ1個あたりの価格</t>
    </r>
    <r>
      <rPr>
        <sz val="11"/>
        <color indexed="10"/>
        <rFont val="ＭＳ Ｐゴシック"/>
        <family val="3"/>
      </rPr>
      <t>（小売定価）</t>
    </r>
  </si>
  <si>
    <t>HK-1Plus</t>
  </si>
  <si>
    <t>ＨＫ－１Plus　LED導入5年リース試算（単位：円）</t>
  </si>
  <si>
    <t>ＨＫ－１Plus 　 寿命50,000HR</t>
  </si>
  <si>
    <t>ＨＫ－１Plus　LED導入7年リース試算（単位：円）</t>
  </si>
  <si>
    <t>ＨＫ－１Plus  　寿命50,000HR</t>
  </si>
  <si>
    <t>ＨＫ－１Plus　LED導入9年リース試算（単位：円）</t>
  </si>
  <si>
    <t>お得意様</t>
  </si>
  <si>
    <t>照明ＬＥＤ化　コストダウン＆ＣＯ２削減シミュレーション  ＨＫ－１Ｐｌｕｓ</t>
  </si>
  <si>
    <t>大阪府</t>
  </si>
  <si>
    <t>LED (9800lm)</t>
  </si>
  <si>
    <t>CO2排出係数一覧表（平成28年度　実排出係数／調整後排出係数）</t>
  </si>
  <si>
    <t>※</t>
  </si>
  <si>
    <t>沖縄電力以外は全国平均係数を代用して計算しています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</si>
</sst>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&quot;目&quot;"/>
    <numFmt numFmtId="177" formatCode="0_);[Red]\(0\)"/>
    <numFmt numFmtId="178" formatCode="0&quot;個&quot;"/>
    <numFmt numFmtId="179" formatCode="0.000_);[Red]\(0.000\)"/>
    <numFmt numFmtId="180" formatCode="0&quot;W&quot;"/>
    <numFmt numFmtId="181" formatCode="#,##0.0_);[Red]\(#,##0.0\)"/>
    <numFmt numFmtId="182" formatCode="0&quot;時間&quot;"/>
    <numFmt numFmtId="183" formatCode="0&quot;日&quot;"/>
    <numFmt numFmtId="184" formatCode="0.00&quot;kwh&quot;"/>
    <numFmt numFmtId="185" formatCode="0&quot;年目&quot;"/>
    <numFmt numFmtId="186" formatCode="0&quot;回&quot;"/>
    <numFmt numFmtId="187" formatCode="0.00&quot;kg&quot;"/>
    <numFmt numFmtId="188" formatCode="0&quot;kwh&quot;"/>
    <numFmt numFmtId="189" formatCode="#,##0_);[Red]\(#,##0\)"/>
    <numFmt numFmtId="190" formatCode="0.0_);[Red]\(0.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24"/>
      <name val="A-OTF 新ゴ Pro B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23"/>
      <name val="ＭＳ Ｐゴシック"/>
      <family val="3"/>
    </font>
    <font>
      <b/>
      <sz val="14"/>
      <color indexed="23"/>
      <name val="ＭＳ Ｐゴシック"/>
      <family val="3"/>
    </font>
    <font>
      <sz val="12"/>
      <name val="ＭＳ Ｐゴシック"/>
      <family val="3"/>
    </font>
    <font>
      <sz val="10.25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80808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808080"/>
      <name val="ＭＳ Ｐゴシック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indexed="46"/>
      </left>
      <right/>
      <top/>
      <bottom/>
    </border>
    <border>
      <left/>
      <right style="thin"/>
      <top/>
      <bottom/>
    </border>
    <border>
      <left/>
      <right style="thick">
        <color indexed="46"/>
      </right>
      <top/>
      <bottom/>
    </border>
    <border>
      <left/>
      <right/>
      <top style="thick">
        <color indexed="46"/>
      </top>
      <bottom/>
    </border>
    <border>
      <left style="thick">
        <color indexed="46"/>
      </left>
      <right/>
      <top/>
      <bottom style="thick">
        <color indexed="46"/>
      </bottom>
    </border>
    <border>
      <left/>
      <right/>
      <top/>
      <bottom style="thick">
        <color indexed="46"/>
      </bottom>
    </border>
    <border>
      <left/>
      <right style="thick">
        <color indexed="46"/>
      </right>
      <top/>
      <bottom style="thick">
        <color indexed="46"/>
      </bottom>
    </border>
    <border>
      <left style="thick">
        <color indexed="50"/>
      </left>
      <right/>
      <top/>
      <bottom/>
    </border>
    <border>
      <left/>
      <right style="thick">
        <color indexed="50"/>
      </right>
      <top/>
      <bottom/>
    </border>
    <border>
      <left style="thick">
        <color indexed="50"/>
      </left>
      <right/>
      <top/>
      <bottom style="thick">
        <color indexed="50"/>
      </bottom>
    </border>
    <border>
      <left/>
      <right/>
      <top/>
      <bottom style="thick">
        <color indexed="50"/>
      </bottom>
    </border>
    <border>
      <left/>
      <right style="thick">
        <color indexed="50"/>
      </right>
      <top/>
      <bottom style="thick">
        <color indexed="50"/>
      </bottom>
    </border>
    <border>
      <left style="thick">
        <color indexed="43"/>
      </left>
      <right/>
      <top/>
      <bottom/>
    </border>
    <border>
      <left style="thin"/>
      <right/>
      <top style="thin"/>
      <bottom style="thin"/>
    </border>
    <border>
      <left/>
      <right style="thick">
        <color indexed="43"/>
      </right>
      <top/>
      <bottom/>
    </border>
    <border>
      <left style="thick">
        <color indexed="43"/>
      </left>
      <right/>
      <top style="thin"/>
      <bottom/>
    </border>
    <border>
      <left/>
      <right/>
      <top style="thin"/>
      <bottom/>
    </border>
    <border>
      <left style="thick">
        <color indexed="43"/>
      </left>
      <right/>
      <top/>
      <bottom style="thick">
        <color indexed="43"/>
      </bottom>
    </border>
    <border>
      <left/>
      <right/>
      <top/>
      <bottom style="thick">
        <color indexed="43"/>
      </bottom>
    </border>
    <border>
      <left/>
      <right style="thick">
        <color indexed="43"/>
      </right>
      <top/>
      <bottom style="thick">
        <color indexed="43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ck">
        <color rgb="FF0070C0"/>
      </left>
      <right/>
      <top style="thin"/>
      <bottom style="hair"/>
    </border>
    <border>
      <left style="thick">
        <color rgb="FF0070C0"/>
      </left>
      <right/>
      <top style="hair"/>
      <bottom style="hair"/>
    </border>
    <border>
      <left style="thick">
        <color rgb="FF0070C0"/>
      </left>
      <right/>
      <top style="hair"/>
      <bottom/>
    </border>
    <border>
      <left style="thick">
        <color rgb="FF0070C0"/>
      </left>
      <right/>
      <top style="hair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50"/>
      </left>
      <right/>
      <top style="thin"/>
      <bottom style="thin"/>
    </border>
    <border>
      <left style="thick">
        <color indexed="43"/>
      </left>
      <right/>
      <top style="thick">
        <color indexed="43"/>
      </top>
      <bottom/>
    </border>
    <border>
      <left/>
      <right/>
      <top style="thick">
        <color indexed="43"/>
      </top>
      <bottom/>
    </border>
    <border>
      <left/>
      <right style="thick">
        <color indexed="43"/>
      </right>
      <top style="thick">
        <color indexed="43"/>
      </top>
      <bottom/>
    </border>
    <border diagonalDown="1">
      <left style="thin"/>
      <right style="thin"/>
      <top style="thin"/>
      <bottom style="thin"/>
      <diagonal style="thin"/>
    </border>
    <border>
      <left style="thick">
        <color indexed="50"/>
      </left>
      <right style="thin"/>
      <top style="thin"/>
      <bottom style="thin"/>
    </border>
    <border>
      <left style="thin"/>
      <right style="thick">
        <color indexed="50"/>
      </right>
      <top style="thin"/>
      <bottom style="thin"/>
    </border>
    <border>
      <left style="thick">
        <color indexed="50"/>
      </left>
      <right/>
      <top style="thick">
        <color indexed="50"/>
      </top>
      <bottom/>
    </border>
    <border>
      <left/>
      <right/>
      <top style="thick">
        <color indexed="50"/>
      </top>
      <bottom/>
    </border>
    <border>
      <left/>
      <right style="thick">
        <color indexed="50"/>
      </right>
      <top style="thick">
        <color indexed="50"/>
      </top>
      <bottom/>
    </border>
    <border diagonalDown="1">
      <left style="thick">
        <color indexed="50"/>
      </left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ck">
        <color indexed="50"/>
      </left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ck">
        <color indexed="46"/>
      </right>
      <top style="thin"/>
      <bottom/>
    </border>
    <border>
      <left/>
      <right style="thick">
        <color indexed="46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 diagonalDown="1">
      <left style="thick">
        <color indexed="46"/>
      </left>
      <right/>
      <top style="thin"/>
      <bottom/>
      <diagonal style="thin"/>
    </border>
    <border diagonalDown="1">
      <left style="thick">
        <color indexed="46"/>
      </left>
      <right/>
      <top/>
      <bottom style="thin"/>
      <diagonal style="thin"/>
    </border>
    <border>
      <left style="thick">
        <color indexed="46"/>
      </left>
      <right/>
      <top/>
      <bottom style="thin"/>
    </border>
    <border>
      <left style="thin"/>
      <right style="thick">
        <color indexed="46"/>
      </right>
      <top style="thin"/>
      <bottom style="thin"/>
    </border>
    <border>
      <left style="thick">
        <color indexed="46"/>
      </left>
      <right/>
      <top style="thin"/>
      <bottom/>
    </border>
    <border>
      <left style="thin"/>
      <right style="thin"/>
      <top style="thin"/>
      <bottom style="thick">
        <color indexed="46"/>
      </bottom>
    </border>
    <border>
      <left/>
      <right style="thin"/>
      <top style="thin"/>
      <bottom style="thick">
        <color indexed="46"/>
      </bottom>
    </border>
    <border>
      <left style="thin"/>
      <right style="thick">
        <color indexed="46"/>
      </right>
      <top style="thin"/>
      <bottom style="thick">
        <color indexed="46"/>
      </bottom>
    </border>
    <border>
      <left style="thick">
        <color indexed="46"/>
      </left>
      <right style="thin"/>
      <top style="thick">
        <color indexed="46"/>
      </top>
      <bottom style="thin"/>
    </border>
    <border>
      <left style="thin"/>
      <right style="thin"/>
      <top style="thick">
        <color indexed="46"/>
      </top>
      <bottom style="thin"/>
    </border>
    <border>
      <left style="thin"/>
      <right style="thick">
        <color indexed="46"/>
      </right>
      <top style="thick">
        <color indexed="46"/>
      </top>
      <bottom style="thin"/>
    </border>
    <border>
      <left style="thin"/>
      <right/>
      <top style="thin"/>
      <bottom style="thick">
        <color indexed="46"/>
      </bottom>
    </border>
    <border>
      <left/>
      <right/>
      <top style="thin"/>
      <bottom style="thick">
        <color indexed="46"/>
      </bottom>
    </border>
    <border>
      <left/>
      <right style="thick">
        <color indexed="46"/>
      </right>
      <top style="thin"/>
      <bottom style="thin"/>
    </border>
    <border>
      <left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indexed="44"/>
      </left>
      <right style="thin"/>
      <top style="thin"/>
      <bottom style="thick">
        <color indexed="44"/>
      </bottom>
    </border>
    <border>
      <left style="thin"/>
      <right style="thin"/>
      <top style="thin"/>
      <bottom style="thick">
        <color indexed="44"/>
      </bottom>
    </border>
    <border>
      <left style="thin"/>
      <right/>
      <top style="thin"/>
      <bottom style="thick">
        <color indexed="44"/>
      </bottom>
    </border>
    <border>
      <left/>
      <right/>
      <top style="thin"/>
      <bottom style="thick">
        <color indexed="44"/>
      </bottom>
    </border>
    <border>
      <left/>
      <right style="thin"/>
      <top style="thin"/>
      <bottom style="thick">
        <color indexed="44"/>
      </bottom>
    </border>
    <border diagonalDown="1">
      <left style="thin"/>
      <right style="thin"/>
      <top style="thin"/>
      <bottom style="thick">
        <color indexed="44"/>
      </bottom>
      <diagonal style="thin"/>
    </border>
    <border diagonalDown="1">
      <left style="thin"/>
      <right style="thick">
        <color indexed="44"/>
      </right>
      <top style="thin"/>
      <bottom style="thick">
        <color indexed="44"/>
      </bottom>
      <diagonal style="thin"/>
    </border>
    <border>
      <left style="thin"/>
      <right style="thick">
        <color indexed="44"/>
      </right>
      <top style="thin"/>
      <bottom style="thin"/>
    </border>
    <border>
      <left style="thick">
        <color theme="0" tint="-0.24993999302387238"/>
      </left>
      <right/>
      <top style="thin"/>
      <bottom style="thick">
        <color theme="0" tint="-0.24993999302387238"/>
      </bottom>
    </border>
    <border>
      <left/>
      <right style="thin"/>
      <top style="thin"/>
      <bottom style="thick">
        <color theme="0" tint="-0.24993999302387238"/>
      </bottom>
    </border>
    <border>
      <left style="thin"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n"/>
      <bottom style="thin"/>
    </border>
    <border>
      <left/>
      <right style="thick">
        <color theme="0" tint="-0.24993999302387238"/>
      </right>
      <top style="thin"/>
      <bottom style="thin"/>
    </border>
    <border>
      <left style="thick">
        <color indexed="44"/>
      </left>
      <right style="thin"/>
      <top style="thin"/>
      <bottom style="thin"/>
    </border>
    <border>
      <left style="thick">
        <color theme="0" tint="-0.24993999302387238"/>
      </left>
      <right/>
      <top style="thick">
        <color theme="0" tint="-0.24993999302387238"/>
      </top>
      <bottom style="thin"/>
    </border>
    <border>
      <left/>
      <right/>
      <top style="thick">
        <color theme="0" tint="-0.24993999302387238"/>
      </top>
      <bottom style="thin"/>
    </border>
    <border>
      <left/>
      <right style="thick">
        <color theme="0" tint="-0.24993999302387238"/>
      </right>
      <top style="thick">
        <color theme="0" tint="-0.24993999302387238"/>
      </top>
      <bottom style="thin"/>
    </border>
    <border>
      <left/>
      <right/>
      <top style="thick">
        <color indexed="45"/>
      </top>
      <bottom/>
    </border>
    <border>
      <left style="thick">
        <color indexed="45"/>
      </left>
      <right style="thin"/>
      <top style="thin"/>
      <bottom style="thin"/>
    </border>
    <border>
      <left style="thin">
        <color indexed="22"/>
      </left>
      <right/>
      <top style="thin"/>
      <bottom style="thin"/>
    </border>
    <border>
      <left/>
      <right style="thick">
        <color indexed="45"/>
      </right>
      <top style="thin"/>
      <bottom style="thin"/>
    </border>
    <border>
      <left style="thick">
        <color indexed="45"/>
      </left>
      <right style="thin"/>
      <top/>
      <bottom style="thick">
        <color indexed="45"/>
      </bottom>
    </border>
    <border>
      <left style="thin"/>
      <right style="thin"/>
      <top/>
      <bottom style="thick">
        <color indexed="45"/>
      </bottom>
    </border>
    <border>
      <left style="thin"/>
      <right/>
      <top style="thin"/>
      <bottom style="thick">
        <color indexed="45"/>
      </bottom>
    </border>
    <border>
      <left/>
      <right/>
      <top style="thin"/>
      <bottom style="thick">
        <color indexed="45"/>
      </bottom>
    </border>
    <border>
      <left/>
      <right style="thin"/>
      <top style="thin"/>
      <bottom style="thick">
        <color indexed="45"/>
      </bottom>
    </border>
    <border>
      <left/>
      <right style="thick">
        <color indexed="45"/>
      </right>
      <top style="thin"/>
      <bottom style="thick">
        <color indexed="45"/>
      </bottom>
    </border>
    <border>
      <left style="thin"/>
      <right style="thick">
        <color indexed="45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ck">
        <color indexed="45"/>
      </left>
      <right style="thin"/>
      <top style="thick">
        <color indexed="45"/>
      </top>
      <bottom style="thin"/>
    </border>
    <border>
      <left style="thin"/>
      <right style="thin"/>
      <top style="thick">
        <color indexed="45"/>
      </top>
      <bottom style="thin"/>
    </border>
    <border>
      <left style="thin"/>
      <right style="thick">
        <color indexed="45"/>
      </right>
      <top style="thick">
        <color indexed="45"/>
      </top>
      <bottom style="thin"/>
    </border>
    <border>
      <left style="thick">
        <color indexed="44"/>
      </left>
      <right style="thin"/>
      <top style="thick">
        <color indexed="44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44"/>
      </top>
      <bottom style="thin"/>
    </border>
    <border>
      <left style="thin"/>
      <right style="thick">
        <color indexed="44"/>
      </right>
      <top style="thick">
        <color indexed="44"/>
      </top>
      <bottom style="thin"/>
    </border>
    <border diagonalDown="1">
      <left style="thick">
        <color indexed="44"/>
      </left>
      <right style="thin"/>
      <top style="thin"/>
      <bottom style="thin"/>
      <diagonal style="thin"/>
    </border>
    <border>
      <left style="thick">
        <color indexed="44"/>
      </left>
      <right/>
      <top style="thin"/>
      <bottom style="thin"/>
    </border>
    <border diagonalDown="1">
      <left style="thin"/>
      <right style="thick">
        <color indexed="44"/>
      </right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ck">
        <color rgb="FFFFC000"/>
      </left>
      <right/>
      <top style="hair"/>
      <bottom style="hair"/>
    </border>
    <border>
      <left/>
      <right style="thick">
        <color rgb="FFFFC000"/>
      </right>
      <top style="hair"/>
      <bottom style="hair"/>
    </border>
    <border>
      <left style="thin"/>
      <right/>
      <top style="medium"/>
      <bottom style="thin"/>
    </border>
    <border>
      <left style="thick">
        <color rgb="FFFFC000"/>
      </left>
      <right style="thin"/>
      <top style="thick">
        <color rgb="FFFFC000"/>
      </top>
      <bottom style="thin"/>
    </border>
    <border>
      <left style="thin"/>
      <right style="thin"/>
      <top style="thick">
        <color rgb="FFFFC000"/>
      </top>
      <bottom style="thin"/>
    </border>
    <border>
      <left style="thin"/>
      <right style="thick">
        <color rgb="FFFFC000"/>
      </right>
      <top style="thick">
        <color rgb="FFFFC000"/>
      </top>
      <bottom style="thin"/>
    </border>
    <border>
      <left style="thick">
        <color rgb="FFFFC000"/>
      </left>
      <right style="thin"/>
      <top style="thin"/>
      <bottom style="hair"/>
    </border>
    <border>
      <left style="thin"/>
      <right style="thick">
        <color rgb="FFFFC000"/>
      </right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>
        <color rgb="FF0070C0"/>
      </left>
      <right style="thin"/>
      <top style="hair"/>
      <bottom style="hair"/>
    </border>
    <border>
      <left style="thin"/>
      <right style="thick">
        <color rgb="FF0070C0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 style="thick">
        <color rgb="FFFFC000"/>
      </left>
      <right style="thin"/>
      <top style="thin"/>
      <bottom style="thin"/>
    </border>
    <border>
      <left style="thin"/>
      <right style="thick">
        <color rgb="FFFFC000"/>
      </right>
      <top style="thin"/>
      <bottom style="thin"/>
    </border>
    <border>
      <left style="thick">
        <color rgb="FF0070C0"/>
      </left>
      <right style="thin"/>
      <top style="thin"/>
      <bottom style="hair"/>
    </border>
    <border>
      <left style="thin"/>
      <right style="thick">
        <color rgb="FF0070C0"/>
      </right>
      <top style="thin"/>
      <bottom style="hair"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ck">
        <color rgb="FFFFC000"/>
      </left>
      <right style="thin"/>
      <top style="thin"/>
      <bottom style="thick">
        <color rgb="FFFFC000"/>
      </bottom>
    </border>
    <border>
      <left style="thin"/>
      <right style="thin"/>
      <top style="thin"/>
      <bottom style="thick">
        <color rgb="FFFFC000"/>
      </bottom>
    </border>
    <border>
      <left style="thin"/>
      <right style="thick">
        <color rgb="FFFFC000"/>
      </right>
      <top style="thin"/>
      <bottom style="thick">
        <color rgb="FFFFC000"/>
      </bottom>
    </border>
    <border>
      <left style="medium"/>
      <right style="thin"/>
      <top style="thin"/>
      <bottom style="thin"/>
    </border>
    <border>
      <left style="thick">
        <color rgb="FFFF9933"/>
      </left>
      <right style="thin"/>
      <top style="thin"/>
      <bottom style="thick">
        <color rgb="FFFF9933"/>
      </bottom>
    </border>
    <border>
      <left style="thin"/>
      <right style="thin"/>
      <top style="thin"/>
      <bottom style="thick">
        <color rgb="FFFF9933"/>
      </bottom>
    </border>
    <border>
      <left style="thin"/>
      <right style="thick">
        <color rgb="FFFF9933"/>
      </right>
      <top style="thin"/>
      <bottom style="thick">
        <color rgb="FFFF9933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9933"/>
      </left>
      <right style="thin"/>
      <top style="thin"/>
      <bottom style="thin"/>
    </border>
    <border>
      <left style="thin"/>
      <right style="thick">
        <color rgb="FFFF993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9933"/>
      </left>
      <right style="thin"/>
      <top style="hair"/>
      <bottom style="hair"/>
    </border>
    <border>
      <left style="thin"/>
      <right style="thick">
        <color rgb="FFFF9933"/>
      </right>
      <top style="hair"/>
      <bottom style="hair"/>
    </border>
    <border>
      <left style="thick">
        <color rgb="FFFF0000"/>
      </left>
      <right/>
      <top style="hair"/>
      <bottom style="hair"/>
    </border>
    <border>
      <left/>
      <right style="thick">
        <color rgb="FFFF0000"/>
      </right>
      <top style="hair"/>
      <bottom style="hair"/>
    </border>
    <border>
      <left style="thick">
        <color rgb="FFFF9933"/>
      </left>
      <right style="thin"/>
      <top style="thin"/>
      <bottom style="hair"/>
    </border>
    <border>
      <left style="thin"/>
      <right style="thick">
        <color rgb="FFFF9933"/>
      </right>
      <top style="thin"/>
      <bottom style="hair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9933"/>
      </left>
      <right style="thin"/>
      <top style="thick">
        <color rgb="FFFF9933"/>
      </top>
      <bottom style="thin"/>
    </border>
    <border>
      <left style="thin"/>
      <right style="thin"/>
      <top style="thick">
        <color rgb="FFFF9933"/>
      </top>
      <bottom style="thin"/>
    </border>
    <border>
      <left style="thin"/>
      <right style="thick">
        <color rgb="FFFF9933"/>
      </right>
      <top style="thick">
        <color rgb="FFFF9933"/>
      </top>
      <bottom style="thin"/>
    </border>
    <border>
      <left/>
      <right style="thin"/>
      <top/>
      <bottom style="thick">
        <color indexed="46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1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5" fontId="0" fillId="0" borderId="0" xfId="0" applyNumberFormat="1" applyFont="1" applyFill="1" applyBorder="1" applyAlignment="1">
      <alignment horizontal="center" vertical="center"/>
    </xf>
    <xf numFmtId="5" fontId="0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textRotation="255"/>
    </xf>
    <xf numFmtId="0" fontId="13" fillId="0" borderId="0" xfId="0" applyFont="1" applyFill="1" applyBorder="1" applyAlignment="1">
      <alignment horizontal="left" vertical="center" textRotation="255"/>
    </xf>
    <xf numFmtId="5" fontId="0" fillId="0" borderId="0" xfId="0" applyNumberFormat="1" applyFont="1" applyFill="1" applyBorder="1" applyAlignment="1">
      <alignment horizontal="right" vertical="center"/>
    </xf>
    <xf numFmtId="5" fontId="0" fillId="0" borderId="23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5" fontId="0" fillId="0" borderId="28" xfId="0" applyNumberFormat="1" applyFont="1" applyFill="1" applyBorder="1" applyAlignment="1">
      <alignment horizontal="right" vertical="center"/>
    </xf>
    <xf numFmtId="5" fontId="0" fillId="0" borderId="29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38" fontId="0" fillId="34" borderId="36" xfId="0" applyNumberFormat="1" applyFill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8" fontId="0" fillId="34" borderId="38" xfId="0" applyNumberFormat="1" applyFill="1" applyBorder="1" applyAlignment="1">
      <alignment horizontal="right" vertical="center" shrinkToFit="1"/>
    </xf>
    <xf numFmtId="38" fontId="0" fillId="0" borderId="39" xfId="0" applyNumberFormat="1" applyFill="1" applyBorder="1" applyAlignment="1">
      <alignment horizontal="right" vertical="center" shrinkToFit="1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40" xfId="0" applyNumberFormat="1" applyFill="1" applyBorder="1" applyAlignment="1">
      <alignment horizontal="right" vertical="center" shrinkToFit="1"/>
    </xf>
    <xf numFmtId="38" fontId="0" fillId="0" borderId="41" xfId="0" applyNumberFormat="1" applyFill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38" fontId="0" fillId="0" borderId="37" xfId="0" applyNumberFormat="1" applyFill="1" applyBorder="1" applyAlignment="1">
      <alignment horizontal="right" vertical="center" shrinkToFit="1"/>
    </xf>
    <xf numFmtId="38" fontId="0" fillId="0" borderId="42" xfId="0" applyNumberFormat="1" applyFill="1" applyBorder="1" applyAlignment="1">
      <alignment horizontal="right" vertical="center" shrinkToFit="1"/>
    </xf>
    <xf numFmtId="38" fontId="0" fillId="0" borderId="43" xfId="0" applyNumberFormat="1" applyFill="1" applyBorder="1" applyAlignment="1">
      <alignment horizontal="right" vertical="center" shrinkToFit="1"/>
    </xf>
    <xf numFmtId="0" fontId="18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vertical="center" shrinkToFit="1"/>
    </xf>
    <xf numFmtId="188" fontId="0" fillId="0" borderId="45" xfId="0" applyNumberFormat="1" applyFont="1" applyFill="1" applyBorder="1" applyAlignment="1">
      <alignment horizontal="right" vertical="center" shrinkToFit="1"/>
    </xf>
    <xf numFmtId="188" fontId="0" fillId="36" borderId="45" xfId="0" applyNumberFormat="1" applyFont="1" applyFill="1" applyBorder="1" applyAlignment="1">
      <alignment horizontal="right" vertical="center"/>
    </xf>
    <xf numFmtId="0" fontId="0" fillId="0" borderId="45" xfId="0" applyNumberFormat="1" applyFont="1" applyBorder="1" applyAlignment="1">
      <alignment horizontal="center" vertical="center" shrinkToFit="1"/>
    </xf>
    <xf numFmtId="0" fontId="0" fillId="36" borderId="46" xfId="0" applyFill="1" applyBorder="1" applyAlignment="1">
      <alignment horizontal="right" vertical="center"/>
    </xf>
    <xf numFmtId="0" fontId="0" fillId="36" borderId="13" xfId="0" applyFont="1" applyFill="1" applyBorder="1" applyAlignment="1">
      <alignment horizontal="right" vertical="center"/>
    </xf>
    <xf numFmtId="0" fontId="0" fillId="36" borderId="13" xfId="0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44" xfId="0" applyFont="1" applyFill="1" applyBorder="1" applyAlignment="1">
      <alignment horizontal="left" vertical="center"/>
    </xf>
    <xf numFmtId="0" fontId="0" fillId="37" borderId="45" xfId="0" applyFont="1" applyFill="1" applyBorder="1" applyAlignment="1">
      <alignment horizontal="center" vertical="center"/>
    </xf>
    <xf numFmtId="188" fontId="0" fillId="38" borderId="45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right" vertical="center"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44" xfId="0" applyFont="1" applyFill="1" applyBorder="1" applyAlignment="1">
      <alignment horizontal="left" vertical="center"/>
    </xf>
    <xf numFmtId="185" fontId="0" fillId="0" borderId="45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9" fillId="37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left" vertical="center" shrinkToFit="1"/>
    </xf>
    <xf numFmtId="187" fontId="0" fillId="0" borderId="45" xfId="0" applyNumberFormat="1" applyFont="1" applyFill="1" applyBorder="1" applyAlignment="1">
      <alignment horizontal="right" vertical="center" shrinkToFit="1"/>
    </xf>
    <xf numFmtId="0" fontId="0" fillId="0" borderId="51" xfId="0" applyFont="1" applyBorder="1" applyAlignment="1">
      <alignment horizontal="center" vertical="center" shrinkToFit="1"/>
    </xf>
    <xf numFmtId="187" fontId="0" fillId="0" borderId="52" xfId="0" applyNumberFormat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39" borderId="51" xfId="0" applyFont="1" applyFill="1" applyBorder="1" applyAlignment="1">
      <alignment horizontal="center" vertical="center"/>
    </xf>
    <xf numFmtId="0" fontId="0" fillId="39" borderId="45" xfId="0" applyFont="1" applyFill="1" applyBorder="1" applyAlignment="1">
      <alignment horizontal="center" vertical="center"/>
    </xf>
    <xf numFmtId="187" fontId="0" fillId="36" borderId="45" xfId="0" applyNumberFormat="1" applyFont="1" applyFill="1" applyBorder="1" applyAlignment="1">
      <alignment horizontal="right" vertical="center"/>
    </xf>
    <xf numFmtId="187" fontId="0" fillId="36" borderId="52" xfId="0" applyNumberFormat="1" applyFont="1" applyFill="1" applyBorder="1" applyAlignment="1">
      <alignment horizontal="right" vertical="center"/>
    </xf>
    <xf numFmtId="187" fontId="0" fillId="38" borderId="45" xfId="0" applyNumberFormat="1" applyFont="1" applyFill="1" applyBorder="1" applyAlignment="1">
      <alignment horizontal="right" vertical="center"/>
    </xf>
    <xf numFmtId="187" fontId="0" fillId="38" borderId="52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9" fillId="39" borderId="53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9" fillId="39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85" fontId="0" fillId="0" borderId="44" xfId="0" applyNumberFormat="1" applyFont="1" applyFill="1" applyBorder="1" applyAlignment="1">
      <alignment horizontal="center" vertical="center"/>
    </xf>
    <xf numFmtId="185" fontId="0" fillId="0" borderId="52" xfId="0" applyNumberFormat="1" applyFont="1" applyFill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 shrinkToFit="1"/>
    </xf>
    <xf numFmtId="6" fontId="0" fillId="0" borderId="31" xfId="0" applyNumberFormat="1" applyFont="1" applyFill="1" applyBorder="1" applyAlignment="1">
      <alignment horizontal="center" vertical="center"/>
    </xf>
    <xf numFmtId="6" fontId="0" fillId="0" borderId="62" xfId="0" applyNumberFormat="1" applyFont="1" applyFill="1" applyBorder="1" applyAlignment="1">
      <alignment horizontal="center" vertical="center"/>
    </xf>
    <xf numFmtId="6" fontId="0" fillId="0" borderId="35" xfId="0" applyNumberFormat="1" applyFont="1" applyFill="1" applyBorder="1" applyAlignment="1">
      <alignment horizontal="center" vertical="center"/>
    </xf>
    <xf numFmtId="6" fontId="0" fillId="0" borderId="63" xfId="0" applyNumberFormat="1" applyFont="1" applyFill="1" applyBorder="1" applyAlignment="1">
      <alignment horizontal="center" vertical="center"/>
    </xf>
    <xf numFmtId="6" fontId="0" fillId="0" borderId="64" xfId="0" applyNumberFormat="1" applyFont="1" applyFill="1" applyBorder="1" applyAlignment="1">
      <alignment horizontal="center" vertical="center"/>
    </xf>
    <xf numFmtId="6" fontId="0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3" fillId="40" borderId="68" xfId="0" applyFont="1" applyFill="1" applyBorder="1" applyAlignment="1">
      <alignment horizontal="right" vertical="center"/>
    </xf>
    <xf numFmtId="0" fontId="13" fillId="4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left" vertical="center"/>
    </xf>
    <xf numFmtId="0" fontId="13" fillId="41" borderId="65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9" fillId="42" borderId="70" xfId="0" applyFont="1" applyFill="1" applyBorder="1" applyAlignment="1">
      <alignment horizontal="center" vertical="center" wrapText="1"/>
    </xf>
    <xf numFmtId="0" fontId="9" fillId="42" borderId="31" xfId="0" applyFont="1" applyFill="1" applyBorder="1" applyAlignment="1">
      <alignment horizontal="center" vertical="center" wrapText="1"/>
    </xf>
    <xf numFmtId="0" fontId="9" fillId="42" borderId="64" xfId="0" applyFont="1" applyFill="1" applyBorder="1" applyAlignment="1">
      <alignment horizontal="center" vertical="center" wrapText="1"/>
    </xf>
    <xf numFmtId="185" fontId="0" fillId="0" borderId="69" xfId="0" applyNumberFormat="1" applyFont="1" applyFill="1" applyBorder="1" applyAlignment="1">
      <alignment horizontal="center" vertical="center"/>
    </xf>
    <xf numFmtId="5" fontId="0" fillId="36" borderId="44" xfId="0" applyNumberFormat="1" applyFont="1" applyFill="1" applyBorder="1" applyAlignment="1">
      <alignment horizontal="right" vertical="center"/>
    </xf>
    <xf numFmtId="5" fontId="0" fillId="36" borderId="45" xfId="0" applyNumberFormat="1" applyFont="1" applyFill="1" applyBorder="1" applyAlignment="1">
      <alignment horizontal="right" vertical="center"/>
    </xf>
    <xf numFmtId="5" fontId="0" fillId="36" borderId="71" xfId="0" applyNumberFormat="1" applyFont="1" applyFill="1" applyBorder="1" applyAlignment="1">
      <alignment horizontal="right" vertical="center"/>
    </xf>
    <xf numFmtId="5" fontId="0" fillId="36" borderId="72" xfId="0" applyNumberFormat="1" applyFont="1" applyFill="1" applyBorder="1" applyAlignment="1">
      <alignment horizontal="right" vertical="center"/>
    </xf>
    <xf numFmtId="0" fontId="0" fillId="36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5" fontId="0" fillId="36" borderId="73" xfId="0" applyNumberFormat="1" applyFont="1" applyFill="1" applyBorder="1" applyAlignment="1">
      <alignment horizontal="right" vertical="center"/>
    </xf>
    <xf numFmtId="0" fontId="9" fillId="42" borderId="74" xfId="0" applyFont="1" applyFill="1" applyBorder="1" applyAlignment="1">
      <alignment horizontal="center" vertical="center"/>
    </xf>
    <xf numFmtId="0" fontId="9" fillId="42" borderId="75" xfId="0" applyFont="1" applyFill="1" applyBorder="1" applyAlignment="1">
      <alignment horizontal="center" vertical="center"/>
    </xf>
    <xf numFmtId="0" fontId="9" fillId="42" borderId="76" xfId="0" applyFont="1" applyFill="1" applyBorder="1" applyAlignment="1">
      <alignment horizontal="center" vertical="center"/>
    </xf>
    <xf numFmtId="5" fontId="0" fillId="36" borderId="69" xfId="0" applyNumberFormat="1" applyFont="1" applyFill="1" applyBorder="1" applyAlignment="1">
      <alignment horizontal="right" vertical="center"/>
    </xf>
    <xf numFmtId="0" fontId="0" fillId="36" borderId="77" xfId="0" applyFont="1" applyFill="1" applyBorder="1" applyAlignment="1">
      <alignment horizontal="left" vertical="center"/>
    </xf>
    <xf numFmtId="0" fontId="0" fillId="36" borderId="78" xfId="0" applyFont="1" applyFill="1" applyBorder="1" applyAlignment="1">
      <alignment horizontal="left" vertical="center"/>
    </xf>
    <xf numFmtId="0" fontId="0" fillId="36" borderId="72" xfId="0" applyFont="1" applyFill="1" applyBorder="1" applyAlignment="1">
      <alignment horizontal="left" vertical="center"/>
    </xf>
    <xf numFmtId="5" fontId="0" fillId="0" borderId="44" xfId="0" applyNumberFormat="1" applyFont="1" applyFill="1" applyBorder="1" applyAlignment="1">
      <alignment horizontal="right" vertical="center"/>
    </xf>
    <xf numFmtId="5" fontId="0" fillId="0" borderId="45" xfId="0" applyNumberFormat="1" applyFont="1" applyFill="1" applyBorder="1" applyAlignment="1">
      <alignment horizontal="right" vertical="center"/>
    </xf>
    <xf numFmtId="5" fontId="0" fillId="0" borderId="69" xfId="0" applyNumberFormat="1" applyFont="1" applyFill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center" vertical="center"/>
    </xf>
    <xf numFmtId="5" fontId="0" fillId="0" borderId="28" xfId="0" applyNumberFormat="1" applyFont="1" applyFill="1" applyBorder="1" applyAlignment="1">
      <alignment horizontal="right" vertical="center"/>
    </xf>
    <xf numFmtId="5" fontId="0" fillId="0" borderId="13" xfId="0" applyNumberFormat="1" applyFont="1" applyFill="1" applyBorder="1" applyAlignment="1">
      <alignment horizontal="right" vertical="center"/>
    </xf>
    <xf numFmtId="5" fontId="0" fillId="0" borderId="79" xfId="0" applyNumberFormat="1" applyFont="1" applyFill="1" applyBorder="1" applyAlignment="1">
      <alignment horizontal="right" vertical="center"/>
    </xf>
    <xf numFmtId="186" fontId="0" fillId="0" borderId="69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right" vertical="center"/>
    </xf>
    <xf numFmtId="5" fontId="0" fillId="38" borderId="44" xfId="0" applyNumberFormat="1" applyFont="1" applyFill="1" applyBorder="1" applyAlignment="1">
      <alignment horizontal="right" vertical="center"/>
    </xf>
    <xf numFmtId="5" fontId="0" fillId="38" borderId="45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right" vertical="center"/>
    </xf>
    <xf numFmtId="182" fontId="0" fillId="0" borderId="69" xfId="0" applyNumberFormat="1" applyFont="1" applyFill="1" applyBorder="1" applyAlignment="1">
      <alignment horizontal="right" vertical="center"/>
    </xf>
    <xf numFmtId="186" fontId="54" fillId="0" borderId="44" xfId="0" applyNumberFormat="1" applyFont="1" applyFill="1" applyBorder="1" applyAlignment="1">
      <alignment horizontal="center" vertical="center"/>
    </xf>
    <xf numFmtId="186" fontId="54" fillId="0" borderId="45" xfId="0" applyNumberFormat="1" applyFont="1" applyFill="1" applyBorder="1" applyAlignment="1">
      <alignment horizontal="center" vertical="center"/>
    </xf>
    <xf numFmtId="5" fontId="0" fillId="38" borderId="69" xfId="0" applyNumberFormat="1" applyFont="1" applyFill="1" applyBorder="1" applyAlignment="1">
      <alignment horizontal="right" vertical="center"/>
    </xf>
    <xf numFmtId="0" fontId="0" fillId="38" borderId="28" xfId="0" applyFont="1" applyFill="1" applyBorder="1" applyAlignment="1">
      <alignment horizontal="left" vertical="center"/>
    </xf>
    <xf numFmtId="186" fontId="0" fillId="0" borderId="45" xfId="0" applyNumberFormat="1" applyFont="1" applyFill="1" applyBorder="1" applyAlignment="1">
      <alignment horizontal="center" vertical="center"/>
    </xf>
    <xf numFmtId="186" fontId="0" fillId="0" borderId="44" xfId="0" applyNumberFormat="1" applyFont="1" applyFill="1" applyBorder="1" applyAlignment="1">
      <alignment horizontal="center" vertical="center"/>
    </xf>
    <xf numFmtId="0" fontId="13" fillId="38" borderId="70" xfId="0" applyFont="1" applyFill="1" applyBorder="1" applyAlignment="1">
      <alignment horizontal="center" vertical="center" textRotation="255"/>
    </xf>
    <xf numFmtId="0" fontId="13" fillId="38" borderId="31" xfId="0" applyFont="1" applyFill="1" applyBorder="1" applyAlignment="1">
      <alignment horizontal="center" vertical="center" textRotation="255"/>
    </xf>
    <xf numFmtId="0" fontId="13" fillId="38" borderId="64" xfId="0" applyFont="1" applyFill="1" applyBorder="1" applyAlignment="1">
      <alignment horizontal="center" vertical="center" textRotation="255"/>
    </xf>
    <xf numFmtId="0" fontId="13" fillId="38" borderId="15" xfId="0" applyFont="1" applyFill="1" applyBorder="1" applyAlignment="1">
      <alignment horizontal="center" vertical="center" textRotation="255"/>
    </xf>
    <xf numFmtId="0" fontId="13" fillId="38" borderId="0" xfId="0" applyFont="1" applyFill="1" applyBorder="1" applyAlignment="1">
      <alignment horizontal="center" vertical="center" textRotation="255"/>
    </xf>
    <xf numFmtId="0" fontId="13" fillId="38" borderId="16" xfId="0" applyFont="1" applyFill="1" applyBorder="1" applyAlignment="1">
      <alignment horizontal="center" vertical="center" textRotation="255"/>
    </xf>
    <xf numFmtId="0" fontId="13" fillId="38" borderId="68" xfId="0" applyFont="1" applyFill="1" applyBorder="1" applyAlignment="1">
      <alignment horizontal="center" vertical="center" textRotation="255"/>
    </xf>
    <xf numFmtId="0" fontId="13" fillId="38" borderId="35" xfId="0" applyFont="1" applyFill="1" applyBorder="1" applyAlignment="1">
      <alignment horizontal="center" vertical="center" textRotation="255"/>
    </xf>
    <xf numFmtId="0" fontId="13" fillId="38" borderId="65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177" fontId="0" fillId="37" borderId="83" xfId="0" applyNumberFormat="1" applyFont="1" applyFill="1" applyBorder="1" applyAlignment="1">
      <alignment horizontal="right" vertical="center"/>
    </xf>
    <xf numFmtId="177" fontId="0" fillId="37" borderId="84" xfId="0" applyNumberFormat="1" applyFont="1" applyFill="1" applyBorder="1" applyAlignment="1">
      <alignment horizontal="right" vertical="center"/>
    </xf>
    <xf numFmtId="177" fontId="0" fillId="37" borderId="85" xfId="0" applyNumberFormat="1" applyFont="1" applyFill="1" applyBorder="1" applyAlignment="1">
      <alignment horizontal="right" vertical="center"/>
    </xf>
    <xf numFmtId="178" fontId="0" fillId="0" borderId="83" xfId="0" applyNumberFormat="1" applyFont="1" applyFill="1" applyBorder="1" applyAlignment="1">
      <alignment horizontal="left" vertical="center"/>
    </xf>
    <xf numFmtId="178" fontId="0" fillId="0" borderId="85" xfId="0" applyNumberFormat="1" applyFont="1" applyFill="1" applyBorder="1" applyAlignment="1">
      <alignment horizontal="left" vertical="center"/>
    </xf>
    <xf numFmtId="178" fontId="0" fillId="0" borderId="86" xfId="0" applyNumberFormat="1" applyFont="1" applyFill="1" applyBorder="1" applyAlignment="1">
      <alignment horizontal="center" vertical="center"/>
    </xf>
    <xf numFmtId="178" fontId="0" fillId="0" borderId="87" xfId="0" applyNumberFormat="1" applyFont="1" applyFill="1" applyBorder="1" applyAlignment="1">
      <alignment horizontal="center" vertical="center"/>
    </xf>
    <xf numFmtId="38" fontId="0" fillId="37" borderId="28" xfId="48" applyFont="1" applyFill="1" applyBorder="1" applyAlignment="1">
      <alignment horizontal="right" vertical="center"/>
    </xf>
    <xf numFmtId="38" fontId="0" fillId="37" borderId="13" xfId="48" applyFont="1" applyFill="1" applyBorder="1" applyAlignment="1">
      <alignment horizontal="right" vertical="center"/>
    </xf>
    <xf numFmtId="38" fontId="0" fillId="37" borderId="44" xfId="48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left" vertical="center"/>
    </xf>
    <xf numFmtId="178" fontId="0" fillId="0" borderId="44" xfId="0" applyNumberFormat="1" applyFont="1" applyFill="1" applyBorder="1" applyAlignment="1">
      <alignment horizontal="left" vertical="center"/>
    </xf>
    <xf numFmtId="38" fontId="0" fillId="0" borderId="45" xfId="48" applyFont="1" applyFill="1" applyBorder="1" applyAlignment="1">
      <alignment horizontal="center" vertical="center"/>
    </xf>
    <xf numFmtId="38" fontId="0" fillId="0" borderId="88" xfId="48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177" fontId="0" fillId="37" borderId="28" xfId="0" applyNumberFormat="1" applyFont="1" applyFill="1" applyBorder="1" applyAlignment="1">
      <alignment horizontal="right" vertical="center"/>
    </xf>
    <xf numFmtId="177" fontId="0" fillId="37" borderId="13" xfId="0" applyNumberFormat="1" applyFont="1" applyFill="1" applyBorder="1" applyAlignment="1">
      <alignment horizontal="right" vertical="center"/>
    </xf>
    <xf numFmtId="177" fontId="0" fillId="37" borderId="44" xfId="0" applyNumberFormat="1" applyFont="1" applyFill="1" applyBorder="1" applyAlignment="1">
      <alignment horizontal="right" vertical="center"/>
    </xf>
    <xf numFmtId="6" fontId="0" fillId="0" borderId="45" xfId="0" applyNumberFormat="1" applyFont="1" applyFill="1" applyBorder="1" applyAlignment="1">
      <alignment horizontal="center" vertical="center"/>
    </xf>
    <xf numFmtId="6" fontId="0" fillId="0" borderId="88" xfId="0" applyNumberFormat="1" applyFont="1" applyFill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0" fillId="0" borderId="9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37" borderId="28" xfId="0" applyNumberFormat="1" applyFont="1" applyFill="1" applyBorder="1" applyAlignment="1">
      <alignment horizontal="right" vertical="center"/>
    </xf>
    <xf numFmtId="38" fontId="0" fillId="37" borderId="13" xfId="0" applyNumberFormat="1" applyFont="1" applyFill="1" applyBorder="1" applyAlignment="1">
      <alignment horizontal="right" vertical="center"/>
    </xf>
    <xf numFmtId="38" fontId="0" fillId="37" borderId="44" xfId="0" applyNumberFormat="1" applyFont="1" applyFill="1" applyBorder="1" applyAlignment="1">
      <alignment horizontal="right" vertical="center"/>
    </xf>
    <xf numFmtId="0" fontId="55" fillId="0" borderId="9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10" fillId="43" borderId="95" xfId="0" applyFont="1" applyFill="1" applyBorder="1" applyAlignment="1">
      <alignment horizontal="center" vertical="center" shrinkToFit="1"/>
    </xf>
    <xf numFmtId="0" fontId="10" fillId="43" borderId="96" xfId="0" applyFont="1" applyFill="1" applyBorder="1" applyAlignment="1">
      <alignment horizontal="center" vertical="center" shrinkToFit="1"/>
    </xf>
    <xf numFmtId="0" fontId="10" fillId="43" borderId="97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4" fontId="0" fillId="0" borderId="44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184" fontId="0" fillId="0" borderId="88" xfId="0" applyNumberFormat="1" applyFont="1" applyFill="1" applyBorder="1" applyAlignment="1">
      <alignment horizontal="center" vertical="center"/>
    </xf>
    <xf numFmtId="190" fontId="0" fillId="37" borderId="28" xfId="0" applyNumberFormat="1" applyFont="1" applyFill="1" applyBorder="1" applyAlignment="1">
      <alignment horizontal="right" vertical="center"/>
    </xf>
    <xf numFmtId="190" fontId="0" fillId="37" borderId="13" xfId="0" applyNumberFormat="1" applyFont="1" applyFill="1" applyBorder="1" applyAlignment="1">
      <alignment horizontal="right" vertical="center"/>
    </xf>
    <xf numFmtId="190" fontId="0" fillId="37" borderId="44" xfId="0" applyNumberFormat="1" applyFont="1" applyFill="1" applyBorder="1" applyAlignment="1">
      <alignment horizontal="right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0" fillId="0" borderId="88" xfId="0" applyNumberFormat="1" applyFont="1" applyFill="1" applyBorder="1" applyAlignment="1">
      <alignment horizontal="center" vertical="center"/>
    </xf>
    <xf numFmtId="0" fontId="7" fillId="0" borderId="9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81" fontId="0" fillId="37" borderId="28" xfId="0" applyNumberFormat="1" applyFont="1" applyFill="1" applyBorder="1" applyAlignment="1">
      <alignment horizontal="center" vertical="center"/>
    </xf>
    <xf numFmtId="181" fontId="0" fillId="37" borderId="13" xfId="0" applyNumberFormat="1" applyFont="1" applyFill="1" applyBorder="1" applyAlignment="1">
      <alignment horizontal="center" vertical="center"/>
    </xf>
    <xf numFmtId="181" fontId="0" fillId="37" borderId="100" xfId="0" applyNumberFormat="1" applyFont="1" applyFill="1" applyBorder="1" applyAlignment="1">
      <alignment horizontal="center" vertical="center"/>
    </xf>
    <xf numFmtId="181" fontId="0" fillId="37" borderId="44" xfId="0" applyNumberFormat="1" applyFont="1" applyFill="1" applyBorder="1" applyAlignment="1">
      <alignment horizontal="center" vertical="center"/>
    </xf>
    <xf numFmtId="6" fontId="0" fillId="0" borderId="28" xfId="0" applyNumberFormat="1" applyFont="1" applyFill="1" applyBorder="1" applyAlignment="1">
      <alignment vertical="center"/>
    </xf>
    <xf numFmtId="6" fontId="0" fillId="0" borderId="13" xfId="0" applyNumberFormat="1" applyFont="1" applyFill="1" applyBorder="1" applyAlignment="1">
      <alignment vertical="center"/>
    </xf>
    <xf numFmtId="6" fontId="0" fillId="0" borderId="101" xfId="0" applyNumberFormat="1" applyFont="1" applyFill="1" applyBorder="1" applyAlignment="1">
      <alignment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181" fontId="0" fillId="37" borderId="104" xfId="0" applyNumberFormat="1" applyFont="1" applyFill="1" applyBorder="1" applyAlignment="1">
      <alignment horizontal="center" vertical="center"/>
    </xf>
    <xf numFmtId="181" fontId="0" fillId="37" borderId="105" xfId="0" applyNumberFormat="1" applyFont="1" applyFill="1" applyBorder="1" applyAlignment="1">
      <alignment horizontal="center" vertical="center"/>
    </xf>
    <xf numFmtId="181" fontId="0" fillId="37" borderId="106" xfId="0" applyNumberFormat="1" applyFont="1" applyFill="1" applyBorder="1" applyAlignment="1">
      <alignment horizontal="center" vertical="center"/>
    </xf>
    <xf numFmtId="6" fontId="0" fillId="0" borderId="104" xfId="0" applyNumberFormat="1" applyFont="1" applyFill="1" applyBorder="1" applyAlignment="1">
      <alignment vertical="center"/>
    </xf>
    <xf numFmtId="6" fontId="0" fillId="0" borderId="105" xfId="0" applyNumberFormat="1" applyFont="1" applyFill="1" applyBorder="1" applyAlignment="1">
      <alignment vertical="center"/>
    </xf>
    <xf numFmtId="6" fontId="0" fillId="0" borderId="107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88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0" fontId="0" fillId="37" borderId="45" xfId="0" applyFill="1" applyBorder="1" applyAlignment="1">
      <alignment horizontal="left" vertical="center"/>
    </xf>
    <xf numFmtId="0" fontId="0" fillId="37" borderId="45" xfId="0" applyFont="1" applyFill="1" applyBorder="1" applyAlignment="1">
      <alignment horizontal="left" vertical="center"/>
    </xf>
    <xf numFmtId="0" fontId="0" fillId="37" borderId="108" xfId="0" applyFont="1" applyFill="1" applyBorder="1" applyAlignment="1">
      <alignment horizontal="left" vertical="center"/>
    </xf>
    <xf numFmtId="178" fontId="0" fillId="0" borderId="45" xfId="0" applyNumberFormat="1" applyFont="1" applyFill="1" applyBorder="1" applyAlignment="1">
      <alignment horizontal="center" vertical="center"/>
    </xf>
    <xf numFmtId="178" fontId="0" fillId="0" borderId="88" xfId="0" applyNumberFormat="1" applyFont="1" applyFill="1" applyBorder="1" applyAlignment="1">
      <alignment horizontal="center" vertical="center"/>
    </xf>
    <xf numFmtId="179" fontId="0" fillId="37" borderId="28" xfId="0" applyNumberFormat="1" applyFont="1" applyFill="1" applyBorder="1" applyAlignment="1">
      <alignment horizontal="center" vertical="center"/>
    </xf>
    <xf numFmtId="179" fontId="0" fillId="37" borderId="13" xfId="0" applyNumberFormat="1" applyFont="1" applyFill="1" applyBorder="1" applyAlignment="1">
      <alignment horizontal="center" vertical="center"/>
    </xf>
    <xf numFmtId="179" fontId="0" fillId="37" borderId="109" xfId="0" applyNumberFormat="1" applyFont="1" applyFill="1" applyBorder="1" applyAlignment="1">
      <alignment horizontal="center" vertical="center"/>
    </xf>
    <xf numFmtId="179" fontId="0" fillId="37" borderId="45" xfId="0" applyNumberFormat="1" applyFont="1" applyFill="1" applyBorder="1" applyAlignment="1">
      <alignment horizontal="center" vertical="center"/>
    </xf>
    <xf numFmtId="0" fontId="7" fillId="37" borderId="100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01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1" fontId="7" fillId="0" borderId="84" xfId="0" applyNumberFormat="1" applyFont="1" applyBorder="1" applyAlignment="1">
      <alignment horizontal="center" vertical="center"/>
    </xf>
    <xf numFmtId="0" fontId="9" fillId="44" borderId="110" xfId="0" applyFont="1" applyFill="1" applyBorder="1" applyAlignment="1">
      <alignment horizontal="center" vertical="center"/>
    </xf>
    <xf numFmtId="0" fontId="9" fillId="44" borderId="111" xfId="0" applyFont="1" applyFill="1" applyBorder="1" applyAlignment="1">
      <alignment horizontal="center" vertical="center"/>
    </xf>
    <xf numFmtId="0" fontId="9" fillId="44" borderId="112" xfId="0" applyFont="1" applyFill="1" applyBorder="1" applyAlignment="1">
      <alignment horizontal="center" vertical="center"/>
    </xf>
    <xf numFmtId="0" fontId="9" fillId="45" borderId="113" xfId="0" applyFont="1" applyFill="1" applyBorder="1" applyAlignment="1">
      <alignment horizontal="center" vertical="center"/>
    </xf>
    <xf numFmtId="0" fontId="9" fillId="45" borderId="114" xfId="0" applyFont="1" applyFill="1" applyBorder="1" applyAlignment="1">
      <alignment horizontal="center" vertical="center"/>
    </xf>
    <xf numFmtId="0" fontId="9" fillId="45" borderId="115" xfId="0" applyFont="1" applyFill="1" applyBorder="1" applyAlignment="1">
      <alignment horizontal="center" vertical="center"/>
    </xf>
    <xf numFmtId="0" fontId="9" fillId="45" borderId="116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left" vertical="center" shrinkToFit="1"/>
    </xf>
    <xf numFmtId="0" fontId="0" fillId="37" borderId="13" xfId="0" applyFont="1" applyFill="1" applyBorder="1" applyAlignment="1">
      <alignment horizontal="left" vertical="center" shrinkToFit="1"/>
    </xf>
    <xf numFmtId="0" fontId="0" fillId="37" borderId="101" xfId="0" applyFont="1" applyFill="1" applyBorder="1" applyAlignment="1">
      <alignment horizontal="left" vertical="center" shrinkToFit="1"/>
    </xf>
    <xf numFmtId="0" fontId="0" fillId="0" borderId="11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46" borderId="45" xfId="0" applyFont="1" applyFill="1" applyBorder="1" applyAlignment="1">
      <alignment horizontal="center" vertical="center"/>
    </xf>
    <xf numFmtId="0" fontId="0" fillId="46" borderId="4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38" fontId="0" fillId="0" borderId="120" xfId="48" applyFont="1" applyBorder="1" applyAlignment="1">
      <alignment horizontal="right" vertical="center" shrinkToFit="1"/>
    </xf>
    <xf numFmtId="38" fontId="0" fillId="0" borderId="121" xfId="48" applyFont="1" applyBorder="1" applyAlignment="1">
      <alignment horizontal="right" vertical="center" shrinkToFit="1"/>
    </xf>
    <xf numFmtId="38" fontId="0" fillId="0" borderId="11" xfId="48" applyFont="1" applyBorder="1" applyAlignment="1">
      <alignment horizontal="right" vertical="center"/>
    </xf>
    <xf numFmtId="38" fontId="0" fillId="0" borderId="122" xfId="48" applyFont="1" applyBorder="1" applyAlignment="1">
      <alignment horizontal="right" vertical="center"/>
    </xf>
    <xf numFmtId="0" fontId="0" fillId="0" borderId="1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34" borderId="124" xfId="0" applyNumberFormat="1" applyFill="1" applyBorder="1" applyAlignment="1">
      <alignment horizontal="center" vertical="center" shrinkToFit="1"/>
    </xf>
    <xf numFmtId="38" fontId="0" fillId="34" borderId="125" xfId="0" applyNumberFormat="1" applyFill="1" applyBorder="1" applyAlignment="1">
      <alignment horizontal="center" vertical="center" shrinkToFit="1"/>
    </xf>
    <xf numFmtId="38" fontId="0" fillId="0" borderId="120" xfId="0" applyNumberFormat="1" applyBorder="1" applyAlignment="1">
      <alignment horizontal="center" vertical="center" shrinkToFit="1"/>
    </xf>
    <xf numFmtId="38" fontId="0" fillId="0" borderId="121" xfId="0" applyNumberFormat="1" applyBorder="1" applyAlignment="1">
      <alignment horizontal="center" vertical="center" shrinkToFit="1"/>
    </xf>
    <xf numFmtId="38" fontId="0" fillId="0" borderId="126" xfId="0" applyNumberFormat="1" applyBorder="1" applyAlignment="1">
      <alignment horizontal="center" vertical="center" shrinkToFit="1"/>
    </xf>
    <xf numFmtId="38" fontId="0" fillId="0" borderId="37" xfId="0" applyNumberFormat="1" applyBorder="1" applyAlignment="1">
      <alignment horizontal="center" vertical="center" shrinkToFit="1"/>
    </xf>
    <xf numFmtId="38" fontId="0" fillId="0" borderId="127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38" fontId="0" fillId="34" borderId="132" xfId="0" applyNumberFormat="1" applyFill="1" applyBorder="1" applyAlignment="1">
      <alignment horizontal="center" vertical="center" shrinkToFit="1"/>
    </xf>
    <xf numFmtId="38" fontId="0" fillId="34" borderId="133" xfId="0" applyNumberFormat="1" applyFill="1" applyBorder="1" applyAlignment="1">
      <alignment horizontal="center" vertical="center" shrinkToFit="1"/>
    </xf>
    <xf numFmtId="38" fontId="0" fillId="33" borderId="45" xfId="0" applyNumberFormat="1" applyFill="1" applyBorder="1" applyAlignment="1">
      <alignment vertical="center" shrinkToFit="1"/>
    </xf>
    <xf numFmtId="38" fontId="0" fillId="33" borderId="28" xfId="0" applyNumberFormat="1" applyFill="1" applyBorder="1" applyAlignment="1">
      <alignment vertical="center" shrinkToFit="1"/>
    </xf>
    <xf numFmtId="10" fontId="0" fillId="0" borderId="11" xfId="48" applyNumberFormat="1" applyFont="1" applyBorder="1" applyAlignment="1">
      <alignment horizontal="right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shrinkToFit="1"/>
    </xf>
    <xf numFmtId="38" fontId="0" fillId="33" borderId="44" xfId="0" applyNumberFormat="1" applyFill="1" applyBorder="1" applyAlignment="1">
      <alignment vertical="center" shrinkToFit="1"/>
    </xf>
    <xf numFmtId="0" fontId="0" fillId="33" borderId="45" xfId="0" applyFill="1" applyBorder="1" applyAlignment="1">
      <alignment vertical="center" shrinkToFit="1"/>
    </xf>
    <xf numFmtId="38" fontId="0" fillId="0" borderId="140" xfId="0" applyNumberFormat="1" applyBorder="1" applyAlignment="1">
      <alignment horizontal="right" vertical="center" shrinkToFit="1"/>
    </xf>
    <xf numFmtId="0" fontId="0" fillId="0" borderId="120" xfId="0" applyBorder="1" applyAlignment="1">
      <alignment horizontal="right" vertical="center" shrinkToFit="1"/>
    </xf>
    <xf numFmtId="0" fontId="0" fillId="0" borderId="141" xfId="0" applyBorder="1" applyAlignment="1">
      <alignment horizontal="right" vertical="center" shrinkToFit="1"/>
    </xf>
    <xf numFmtId="38" fontId="0" fillId="0" borderId="142" xfId="48" applyFont="1" applyBorder="1" applyAlignment="1">
      <alignment horizontal="right" vertical="center" shrinkToFit="1"/>
    </xf>
    <xf numFmtId="38" fontId="0" fillId="33" borderId="11" xfId="0" applyNumberFormat="1" applyFill="1" applyBorder="1" applyAlignment="1">
      <alignment vertical="center" shrinkToFit="1"/>
    </xf>
    <xf numFmtId="38" fontId="0" fillId="33" borderId="122" xfId="0" applyNumberFormat="1" applyFill="1" applyBorder="1" applyAlignment="1">
      <alignment vertical="center" shrinkToFit="1"/>
    </xf>
    <xf numFmtId="38" fontId="0" fillId="33" borderId="143" xfId="0" applyNumberForma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38" fontId="0" fillId="33" borderId="144" xfId="0" applyNumberFormat="1" applyFill="1" applyBorder="1" applyAlignment="1">
      <alignment vertical="center" shrinkToFit="1"/>
    </xf>
    <xf numFmtId="38" fontId="0" fillId="33" borderId="145" xfId="0" applyNumberFormat="1" applyFill="1" applyBorder="1" applyAlignment="1">
      <alignment vertical="center" shrinkToFit="1"/>
    </xf>
    <xf numFmtId="38" fontId="0" fillId="34" borderId="146" xfId="0" applyNumberFormat="1" applyFill="1" applyBorder="1" applyAlignment="1">
      <alignment horizontal="right" vertical="center" shrinkToFit="1"/>
    </xf>
    <xf numFmtId="0" fontId="0" fillId="34" borderId="124" xfId="0" applyFill="1" applyBorder="1" applyAlignment="1">
      <alignment horizontal="right" vertical="center" shrinkToFit="1"/>
    </xf>
    <xf numFmtId="0" fontId="0" fillId="34" borderId="147" xfId="0" applyFill="1" applyBorder="1" applyAlignment="1">
      <alignment horizontal="right" vertical="center" shrinkToFit="1"/>
    </xf>
    <xf numFmtId="0" fontId="0" fillId="0" borderId="148" xfId="0" applyBorder="1" applyAlignment="1">
      <alignment horizontal="center" vertical="center" shrinkToFit="1"/>
    </xf>
    <xf numFmtId="0" fontId="0" fillId="0" borderId="149" xfId="0" applyBorder="1" applyAlignment="1">
      <alignment horizontal="center" vertical="center" shrinkToFit="1"/>
    </xf>
    <xf numFmtId="0" fontId="0" fillId="0" borderId="150" xfId="0" applyBorder="1" applyAlignment="1">
      <alignment horizontal="center" vertical="center" shrinkToFit="1"/>
    </xf>
    <xf numFmtId="38" fontId="0" fillId="34" borderId="124" xfId="48" applyFont="1" applyFill="1" applyBorder="1" applyAlignment="1">
      <alignment horizontal="right" vertical="center" shrinkToFit="1"/>
    </xf>
    <xf numFmtId="0" fontId="0" fillId="0" borderId="1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53" xfId="0" applyNumberFormat="1" applyBorder="1" applyAlignment="1">
      <alignment horizontal="center" vertical="center" shrinkToFit="1"/>
    </xf>
    <xf numFmtId="176" fontId="0" fillId="0" borderId="120" xfId="0" applyNumberFormat="1" applyBorder="1" applyAlignment="1">
      <alignment horizontal="center" vertical="center" shrinkToFit="1"/>
    </xf>
    <xf numFmtId="176" fontId="0" fillId="34" borderId="154" xfId="0" applyNumberFormat="1" applyFill="1" applyBorder="1" applyAlignment="1">
      <alignment horizontal="center" vertical="center" shrinkToFit="1"/>
    </xf>
    <xf numFmtId="176" fontId="0" fillId="34" borderId="124" xfId="0" applyNumberFormat="1" applyFill="1" applyBorder="1" applyAlignment="1">
      <alignment horizontal="center" vertical="center" shrinkToFit="1"/>
    </xf>
    <xf numFmtId="38" fontId="0" fillId="34" borderId="125" xfId="48" applyFont="1" applyFill="1" applyBorder="1" applyAlignment="1">
      <alignment horizontal="right" vertical="center" shrinkToFit="1"/>
    </xf>
    <xf numFmtId="38" fontId="0" fillId="34" borderId="155" xfId="48" applyFont="1" applyFill="1" applyBorder="1" applyAlignment="1">
      <alignment horizontal="right" vertical="center" shrinkToFit="1"/>
    </xf>
    <xf numFmtId="0" fontId="0" fillId="0" borderId="152" xfId="0" applyBorder="1" applyAlignment="1">
      <alignment horizontal="center" vertical="center" shrinkToFit="1"/>
    </xf>
    <xf numFmtId="0" fontId="7" fillId="0" borderId="128" xfId="0" applyFont="1" applyBorder="1" applyAlignment="1">
      <alignment horizontal="center" vertical="center" wrapText="1" shrinkToFit="1"/>
    </xf>
    <xf numFmtId="0" fontId="7" fillId="0" borderId="135" xfId="0" applyFont="1" applyBorder="1" applyAlignment="1">
      <alignment horizontal="center" vertical="center" shrinkToFit="1"/>
    </xf>
    <xf numFmtId="0" fontId="0" fillId="33" borderId="28" xfId="0" applyFill="1" applyBorder="1" applyAlignment="1">
      <alignment vertical="center" shrinkToFit="1"/>
    </xf>
    <xf numFmtId="38" fontId="0" fillId="33" borderId="156" xfId="0" applyNumberFormat="1" applyFill="1" applyBorder="1" applyAlignment="1">
      <alignment vertical="center" shrinkToFit="1"/>
    </xf>
    <xf numFmtId="0" fontId="0" fillId="33" borderId="157" xfId="0" applyFill="1" applyBorder="1" applyAlignment="1">
      <alignment vertical="center" shrinkToFit="1"/>
    </xf>
    <xf numFmtId="0" fontId="0" fillId="33" borderId="122" xfId="0" applyFill="1" applyBorder="1" applyAlignment="1">
      <alignment vertical="center" shrinkToFit="1"/>
    </xf>
    <xf numFmtId="38" fontId="0" fillId="33" borderId="158" xfId="0" applyNumberFormat="1" applyFill="1" applyBorder="1" applyAlignment="1">
      <alignment vertical="center" shrinkToFit="1"/>
    </xf>
    <xf numFmtId="0" fontId="0" fillId="33" borderId="159" xfId="0" applyFill="1" applyBorder="1" applyAlignment="1">
      <alignment vertical="center" shrinkToFit="1"/>
    </xf>
    <xf numFmtId="0" fontId="0" fillId="33" borderId="160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3" borderId="15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38" fontId="0" fillId="33" borderId="161" xfId="0" applyNumberFormat="1" applyFill="1" applyBorder="1" applyAlignment="1">
      <alignment vertical="center" shrinkToFit="1"/>
    </xf>
    <xf numFmtId="38" fontId="0" fillId="33" borderId="162" xfId="0" applyNumberFormat="1" applyFill="1" applyBorder="1" applyAlignment="1">
      <alignment vertical="center" shrinkToFit="1"/>
    </xf>
    <xf numFmtId="38" fontId="0" fillId="33" borderId="163" xfId="0" applyNumberFormat="1" applyFill="1" applyBorder="1" applyAlignment="1">
      <alignment vertical="center" shrinkToFit="1"/>
    </xf>
    <xf numFmtId="0" fontId="0" fillId="33" borderId="164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38" fontId="0" fillId="33" borderId="165" xfId="0" applyNumberFormat="1" applyFill="1" applyBorder="1" applyAlignment="1">
      <alignment vertical="center" shrinkToFit="1"/>
    </xf>
    <xf numFmtId="0" fontId="0" fillId="33" borderId="166" xfId="0" applyFill="1" applyBorder="1" applyAlignment="1">
      <alignment vertical="center" shrinkToFit="1"/>
    </xf>
    <xf numFmtId="0" fontId="0" fillId="33" borderId="167" xfId="0" applyFill="1" applyBorder="1" applyAlignment="1">
      <alignment vertical="center" shrinkToFit="1"/>
    </xf>
    <xf numFmtId="38" fontId="0" fillId="33" borderId="168" xfId="0" applyNumberFormat="1" applyFill="1" applyBorder="1" applyAlignment="1">
      <alignment vertical="center" shrinkToFit="1"/>
    </xf>
    <xf numFmtId="38" fontId="0" fillId="33" borderId="169" xfId="0" applyNumberFormat="1" applyFill="1" applyBorder="1" applyAlignment="1">
      <alignment vertical="center" shrinkToFit="1"/>
    </xf>
    <xf numFmtId="38" fontId="0" fillId="33" borderId="170" xfId="0" applyNumberFormat="1" applyFill="1" applyBorder="1" applyAlignment="1">
      <alignment vertical="center" shrinkToFit="1"/>
    </xf>
    <xf numFmtId="38" fontId="0" fillId="33" borderId="171" xfId="0" applyNumberFormat="1" applyFill="1" applyBorder="1" applyAlignment="1">
      <alignment vertical="center" shrinkToFit="1"/>
    </xf>
    <xf numFmtId="0" fontId="0" fillId="33" borderId="172" xfId="0" applyFill="1" applyBorder="1" applyAlignment="1">
      <alignment vertical="center" shrinkToFit="1"/>
    </xf>
    <xf numFmtId="38" fontId="0" fillId="33" borderId="173" xfId="0" applyNumberFormat="1" applyFill="1" applyBorder="1" applyAlignment="1">
      <alignment vertical="center" shrinkToFit="1"/>
    </xf>
    <xf numFmtId="38" fontId="0" fillId="33" borderId="174" xfId="0" applyNumberFormat="1" applyFill="1" applyBorder="1" applyAlignment="1">
      <alignment vertical="center" shrinkToFit="1"/>
    </xf>
    <xf numFmtId="38" fontId="0" fillId="0" borderId="175" xfId="0" applyNumberFormat="1" applyBorder="1" applyAlignment="1">
      <alignment horizontal="right" vertical="center" shrinkToFit="1"/>
    </xf>
    <xf numFmtId="0" fontId="0" fillId="0" borderId="176" xfId="0" applyBorder="1" applyAlignment="1">
      <alignment horizontal="right" vertical="center" shrinkToFit="1"/>
    </xf>
    <xf numFmtId="38" fontId="0" fillId="0" borderId="177" xfId="0" applyNumberFormat="1" applyBorder="1" applyAlignment="1">
      <alignment horizontal="center" vertical="center" shrinkToFit="1"/>
    </xf>
    <xf numFmtId="38" fontId="0" fillId="0" borderId="178" xfId="0" applyNumberFormat="1" applyBorder="1" applyAlignment="1">
      <alignment horizontal="center" vertical="center" shrinkToFit="1"/>
    </xf>
    <xf numFmtId="38" fontId="0" fillId="34" borderId="179" xfId="0" applyNumberFormat="1" applyFill="1" applyBorder="1" applyAlignment="1">
      <alignment horizontal="right" vertical="center" shrinkToFit="1"/>
    </xf>
    <xf numFmtId="0" fontId="0" fillId="34" borderId="180" xfId="0" applyFill="1" applyBorder="1" applyAlignment="1">
      <alignment horizontal="right" vertical="center" shrinkToFit="1"/>
    </xf>
    <xf numFmtId="38" fontId="0" fillId="34" borderId="181" xfId="0" applyNumberFormat="1" applyFill="1" applyBorder="1" applyAlignment="1">
      <alignment horizontal="center" vertical="center" shrinkToFit="1"/>
    </xf>
    <xf numFmtId="38" fontId="0" fillId="34" borderId="182" xfId="0" applyNumberFormat="1" applyFill="1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0" fillId="0" borderId="186" xfId="0" applyBorder="1" applyAlignment="1">
      <alignment horizontal="center" vertical="center" shrinkToFit="1"/>
    </xf>
    <xf numFmtId="0" fontId="0" fillId="0" borderId="187" xfId="0" applyBorder="1" applyAlignment="1">
      <alignment horizontal="center" vertical="center" shrinkToFit="1"/>
    </xf>
    <xf numFmtId="0" fontId="0" fillId="0" borderId="188" xfId="0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3" fillId="36" borderId="70" xfId="0" applyFont="1" applyFill="1" applyBorder="1" applyAlignment="1">
      <alignment horizontal="center" vertical="center" textRotation="255"/>
    </xf>
    <xf numFmtId="0" fontId="3" fillId="36" borderId="31" xfId="0" applyFont="1" applyFill="1" applyBorder="1" applyAlignment="1">
      <alignment horizontal="center" vertical="center" textRotation="255"/>
    </xf>
    <xf numFmtId="0" fontId="3" fillId="36" borderId="64" xfId="0" applyFont="1" applyFill="1" applyBorder="1" applyAlignment="1">
      <alignment horizontal="center" vertical="center" textRotation="255"/>
    </xf>
    <xf numFmtId="0" fontId="3" fillId="36" borderId="15" xfId="0" applyFont="1" applyFill="1" applyBorder="1" applyAlignment="1">
      <alignment horizontal="center" vertical="center" textRotation="255"/>
    </xf>
    <xf numFmtId="0" fontId="3" fillId="36" borderId="0" xfId="0" applyFont="1" applyFill="1" applyBorder="1" applyAlignment="1">
      <alignment horizontal="center" vertical="center" textRotation="255"/>
    </xf>
    <xf numFmtId="0" fontId="3" fillId="36" borderId="16" xfId="0" applyFont="1" applyFill="1" applyBorder="1" applyAlignment="1">
      <alignment horizontal="center" vertical="center" textRotation="255"/>
    </xf>
    <xf numFmtId="0" fontId="3" fillId="36" borderId="19" xfId="0" applyFont="1" applyFill="1" applyBorder="1" applyAlignment="1">
      <alignment horizontal="center" vertical="center" textRotation="255"/>
    </xf>
    <xf numFmtId="0" fontId="3" fillId="36" borderId="20" xfId="0" applyFont="1" applyFill="1" applyBorder="1" applyAlignment="1">
      <alignment horizontal="center" vertical="center" textRotation="255"/>
    </xf>
    <xf numFmtId="0" fontId="3" fillId="36" borderId="18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15"/>
          <c:w val="0.806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'[1]HK-1'!$P$57:$BC$57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'[1]HK-1'!$P$60:$BC$60</c:f>
              <c:numCache>
                <c:ptCount val="40"/>
                <c:pt idx="0">
                  <c:v>61851.600000000006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123703.20000000001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185554.80000000002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247406.40000000002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309258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371109.60000000003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432961.20000000007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494812.80000000005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556664.4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618516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'[1]HK-1'!$P$57:$BC$57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'[1]HK-1'!$P$62:$BC$62</c:f>
              <c:numCache>
                <c:ptCount val="40"/>
                <c:pt idx="0">
                  <c:v>10432.8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20865.6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31298.399999999998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41731.2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52164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62596.799999999996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73029.59999999999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83462.4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93895.2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104328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66746717"/>
        <c:axId val="63849542"/>
      </c:barChart>
      <c:dateAx>
        <c:axId val="66746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95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849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6717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4825"/>
          <c:y val="0.8575"/>
          <c:w val="0.108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75"/>
          <c:y val="0.0175"/>
          <c:w val="0.814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'[1]HK-1'!$P$107:$BC$107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'[1]HK-1'!$P$110:$BC$110</c:f>
              <c:numCache>
                <c:ptCount val="40"/>
                <c:pt idx="0">
                  <c:v>137448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274896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412344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549792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687240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824688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962136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1099584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1237032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1374480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'[1]HK-1'!$P$107:$BC$107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'[1]HK-1'!$P$112:$BC$112</c:f>
              <c:numCache>
                <c:ptCount val="40"/>
                <c:pt idx="0">
                  <c:v>23184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46368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69552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92736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115920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139104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162288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185472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208656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231840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37774967"/>
        <c:axId val="4430384"/>
      </c:barChart>
      <c:dateAx>
        <c:axId val="37774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3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3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496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75"/>
          <c:y val="0.80625"/>
          <c:w val="0.119"/>
          <c:h val="0.1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.0175"/>
          <c:w val="0.825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'[1]HK-1'!$P$21:$BC$21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'[1]HK-1'!$P$29:$BC$29</c:f>
              <c:numCache>
                <c:ptCount val="40"/>
                <c:pt idx="0">
                  <c:v>3333114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6666228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9999342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13782456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17115570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20448684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23781798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27564912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30898026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34231140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'[1]HK-1'!$P$21:$BC$21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'[1]HK-1'!$P$36:$BC$36</c:f>
              <c:numCache>
                <c:ptCount val="40"/>
                <c:pt idx="0">
                  <c:v>562212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1124424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1686636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2248848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2811060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3373272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3935484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4497696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5059908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5622120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39873457"/>
        <c:axId val="23316794"/>
      </c:barChart>
      <c:dateAx>
        <c:axId val="398734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167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31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833"/>
          <c:w val="0.1055"/>
          <c:h val="0.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015"/>
          <c:w val="0.80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'[1]HK-1'!$P$82:$BC$82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'[1]HK-1'!$P$85:$BC$85</c:f>
              <c:numCache>
                <c:ptCount val="40"/>
                <c:pt idx="0">
                  <c:v>56903.471999999994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113806.94399999999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170710.41599999997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227613.88799999998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284517.36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341420.83199999994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398324.30399999995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455227.77599999995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512131.24799999996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569034.72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'[1]HK-1'!$P$82:$BC$82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'[1]HK-1'!$P$87:$BC$87</c:f>
              <c:numCache>
                <c:ptCount val="40"/>
                <c:pt idx="0">
                  <c:v>9598.176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19196.352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28794.528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38392.704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47990.88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57589.056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67187.23199999999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76785.408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86383.584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95981.76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8524555"/>
        <c:axId val="9612132"/>
      </c:barChart>
      <c:dateAx>
        <c:axId val="8524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21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61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4555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575"/>
          <c:y val="0.85775"/>
          <c:w val="0.108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'5年'!$B$8:$C$17</c:f>
              <c:multiLvlStrCache/>
            </c:multiLvlStrRef>
          </c:cat>
          <c:val>
            <c:numRef>
              <c:f>'5年'!$M$8:$M$17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'5年'!$B$8:$C$17</c:f>
              <c:multiLvlStrCache/>
            </c:multiLvlStrRef>
          </c:cat>
          <c:val>
            <c:numRef>
              <c:f>'5年'!$Z$8:$Z$17</c:f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0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'7年 '!$B$8:$C$17</c:f>
              <c:multiLvlStrCache/>
            </c:multiLvlStrRef>
          </c:cat>
          <c:val>
            <c:numRef>
              <c:f>'7年 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'7年 '!$B$8:$C$17</c:f>
              <c:multiLvlStrCache/>
            </c:multiLvlStrRef>
          </c:cat>
          <c:val>
            <c:numRef>
              <c:f>'7年 '!$Z$8:$Z$17</c:f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2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'9年 '!$B$8:$C$17</c:f>
              <c:multiLvlStrCache/>
            </c:multiLvlStrRef>
          </c:cat>
          <c:val>
            <c:numRef>
              <c:f>'9年 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'9年 '!$B$8:$C$17</c:f>
              <c:multiLvlStrCache/>
            </c:multiLvlStrRef>
          </c:cat>
          <c:val>
            <c:numRef>
              <c:f>'9年 '!$Z$8:$Z$17</c:f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180975</xdr:rowOff>
    </xdr:from>
    <xdr:to>
      <xdr:col>56</xdr:col>
      <xdr:colOff>257175</xdr:colOff>
      <xdr:row>79</xdr:row>
      <xdr:rowOff>161925</xdr:rowOff>
    </xdr:to>
    <xdr:graphicFrame>
      <xdr:nvGraphicFramePr>
        <xdr:cNvPr id="1" name="Chart 2"/>
        <xdr:cNvGraphicFramePr/>
      </xdr:nvGraphicFramePr>
      <xdr:xfrm>
        <a:off x="1400175" y="14735175"/>
        <a:ext cx="12639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114</xdr:row>
      <xdr:rowOff>28575</xdr:rowOff>
    </xdr:from>
    <xdr:to>
      <xdr:col>56</xdr:col>
      <xdr:colOff>209550</xdr:colOff>
      <xdr:row>127</xdr:row>
      <xdr:rowOff>9525</xdr:rowOff>
    </xdr:to>
    <xdr:graphicFrame>
      <xdr:nvGraphicFramePr>
        <xdr:cNvPr id="2" name="Chart 2"/>
        <xdr:cNvGraphicFramePr/>
      </xdr:nvGraphicFramePr>
      <xdr:xfrm>
        <a:off x="1371600" y="25631775"/>
        <a:ext cx="126206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42</xdr:row>
      <xdr:rowOff>0</xdr:rowOff>
    </xdr:from>
    <xdr:to>
      <xdr:col>56</xdr:col>
      <xdr:colOff>276225</xdr:colOff>
      <xdr:row>54</xdr:row>
      <xdr:rowOff>228600</xdr:rowOff>
    </xdr:to>
    <xdr:graphicFrame>
      <xdr:nvGraphicFramePr>
        <xdr:cNvPr id="3" name="Chart 1"/>
        <xdr:cNvGraphicFramePr/>
      </xdr:nvGraphicFramePr>
      <xdr:xfrm>
        <a:off x="1057275" y="9744075"/>
        <a:ext cx="130016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89</xdr:row>
      <xdr:rowOff>228600</xdr:rowOff>
    </xdr:from>
    <xdr:to>
      <xdr:col>56</xdr:col>
      <xdr:colOff>219075</xdr:colOff>
      <xdr:row>104</xdr:row>
      <xdr:rowOff>209550</xdr:rowOff>
    </xdr:to>
    <xdr:graphicFrame>
      <xdr:nvGraphicFramePr>
        <xdr:cNvPr id="4" name="Chart 2"/>
        <xdr:cNvGraphicFramePr/>
      </xdr:nvGraphicFramePr>
      <xdr:xfrm>
        <a:off x="1381125" y="20307300"/>
        <a:ext cx="126206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30</xdr:row>
      <xdr:rowOff>0</xdr:rowOff>
    </xdr:from>
    <xdr:to>
      <xdr:col>40</xdr:col>
      <xdr:colOff>276225</xdr:colOff>
      <xdr:row>68</xdr:row>
      <xdr:rowOff>9525</xdr:rowOff>
    </xdr:to>
    <xdr:graphicFrame>
      <xdr:nvGraphicFramePr>
        <xdr:cNvPr id="1" name="グラフ 2"/>
        <xdr:cNvGraphicFramePr/>
      </xdr:nvGraphicFramePr>
      <xdr:xfrm>
        <a:off x="276225" y="701040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29</xdr:row>
      <xdr:rowOff>0</xdr:rowOff>
    </xdr:from>
    <xdr:to>
      <xdr:col>40</xdr:col>
      <xdr:colOff>276225</xdr:colOff>
      <xdr:row>67</xdr:row>
      <xdr:rowOff>9525</xdr:rowOff>
    </xdr:to>
    <xdr:graphicFrame>
      <xdr:nvGraphicFramePr>
        <xdr:cNvPr id="1" name="グラフ 1"/>
        <xdr:cNvGraphicFramePr/>
      </xdr:nvGraphicFramePr>
      <xdr:xfrm>
        <a:off x="276225" y="683895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29</xdr:row>
      <xdr:rowOff>0</xdr:rowOff>
    </xdr:from>
    <xdr:to>
      <xdr:col>40</xdr:col>
      <xdr:colOff>276225</xdr:colOff>
      <xdr:row>67</xdr:row>
      <xdr:rowOff>9525</xdr:rowOff>
    </xdr:to>
    <xdr:graphicFrame>
      <xdr:nvGraphicFramePr>
        <xdr:cNvPr id="1" name="グラフ 1"/>
        <xdr:cNvGraphicFramePr/>
      </xdr:nvGraphicFramePr>
      <xdr:xfrm>
        <a:off x="276225" y="683895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9872;&#22659;&#38283;&#30330;&#12501;&#12457;&#12523;&#12480;&#65288;&#20491;&#20154;&#65289;\&#12503;&#12524;&#12476;&#12531;&#29992;(Ver.5.2)\&#12471;&#12511;&#12517;&#12524;&#12540;&#12471;&#12519;&#12531;\&#29031;&#26126;LED&#21270;&#12471;&#12517;&#12511;&#12524;&#12540;&#12471;&#12519;&#12531;&#65288;&#12469;&#12531;&#12503;&#12523;&#27096;2013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-1"/>
      <sheetName val="表紙"/>
      <sheetName val="Sheet1"/>
    </sheetNames>
    <sheetDataSet>
      <sheetData sheetId="0">
        <row r="21"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2</v>
          </cell>
          <cell r="U21">
            <v>0</v>
          </cell>
          <cell r="V21">
            <v>0</v>
          </cell>
          <cell r="W21">
            <v>0</v>
          </cell>
          <cell r="X21">
            <v>3</v>
          </cell>
          <cell r="Y21">
            <v>0</v>
          </cell>
          <cell r="Z21">
            <v>0</v>
          </cell>
          <cell r="AA21">
            <v>0</v>
          </cell>
          <cell r="AB21">
            <v>4</v>
          </cell>
          <cell r="AC21">
            <v>0</v>
          </cell>
          <cell r="AD21">
            <v>0</v>
          </cell>
          <cell r="AE21">
            <v>0</v>
          </cell>
          <cell r="AF21">
            <v>5</v>
          </cell>
          <cell r="AG21">
            <v>0</v>
          </cell>
          <cell r="AH21">
            <v>0</v>
          </cell>
          <cell r="AI21">
            <v>0</v>
          </cell>
          <cell r="AJ21">
            <v>6</v>
          </cell>
          <cell r="AK21">
            <v>0</v>
          </cell>
          <cell r="AL21">
            <v>0</v>
          </cell>
          <cell r="AM21">
            <v>0</v>
          </cell>
          <cell r="AN21">
            <v>7</v>
          </cell>
          <cell r="AO21">
            <v>0</v>
          </cell>
          <cell r="AP21">
            <v>0</v>
          </cell>
          <cell r="AQ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9</v>
          </cell>
          <cell r="AW21">
            <v>0</v>
          </cell>
          <cell r="AX21">
            <v>0</v>
          </cell>
          <cell r="AY21">
            <v>0</v>
          </cell>
          <cell r="AZ21">
            <v>10</v>
          </cell>
          <cell r="BA21">
            <v>0</v>
          </cell>
          <cell r="BB21">
            <v>0</v>
          </cell>
          <cell r="BC21">
            <v>0</v>
          </cell>
        </row>
        <row r="24">
          <cell r="A24" t="str">
            <v>400W水銀灯</v>
          </cell>
        </row>
        <row r="29">
          <cell r="P29">
            <v>3333114</v>
          </cell>
          <cell r="Q29">
            <v>0</v>
          </cell>
          <cell r="R29">
            <v>0</v>
          </cell>
          <cell r="S29">
            <v>0</v>
          </cell>
          <cell r="T29">
            <v>6666228</v>
          </cell>
          <cell r="U29">
            <v>0</v>
          </cell>
          <cell r="V29">
            <v>0</v>
          </cell>
          <cell r="W29">
            <v>0</v>
          </cell>
          <cell r="X29">
            <v>9999342</v>
          </cell>
          <cell r="Y29">
            <v>0</v>
          </cell>
          <cell r="Z29">
            <v>0</v>
          </cell>
          <cell r="AA29">
            <v>0</v>
          </cell>
          <cell r="AB29">
            <v>13782456</v>
          </cell>
          <cell r="AC29">
            <v>0</v>
          </cell>
          <cell r="AD29">
            <v>0</v>
          </cell>
          <cell r="AE29">
            <v>0</v>
          </cell>
          <cell r="AF29">
            <v>17115570</v>
          </cell>
          <cell r="AG29">
            <v>0</v>
          </cell>
          <cell r="AH29">
            <v>0</v>
          </cell>
          <cell r="AI29">
            <v>0</v>
          </cell>
          <cell r="AJ29">
            <v>20448684</v>
          </cell>
          <cell r="AK29">
            <v>0</v>
          </cell>
          <cell r="AL29">
            <v>0</v>
          </cell>
          <cell r="AM29">
            <v>0</v>
          </cell>
          <cell r="AN29">
            <v>23781798</v>
          </cell>
          <cell r="AO29">
            <v>0</v>
          </cell>
          <cell r="AP29">
            <v>0</v>
          </cell>
          <cell r="AQ29">
            <v>0</v>
          </cell>
          <cell r="AR29">
            <v>27564912</v>
          </cell>
          <cell r="AS29">
            <v>0</v>
          </cell>
          <cell r="AT29">
            <v>0</v>
          </cell>
          <cell r="AU29">
            <v>0</v>
          </cell>
          <cell r="AV29">
            <v>30898026</v>
          </cell>
          <cell r="AW29">
            <v>0</v>
          </cell>
          <cell r="AX29">
            <v>0</v>
          </cell>
          <cell r="AY29">
            <v>0</v>
          </cell>
          <cell r="AZ29">
            <v>34231140</v>
          </cell>
          <cell r="BA29">
            <v>0</v>
          </cell>
          <cell r="BB29">
            <v>0</v>
          </cell>
          <cell r="BC29">
            <v>0</v>
          </cell>
        </row>
        <row r="31">
          <cell r="A31" t="str">
            <v>HK-1</v>
          </cell>
        </row>
        <row r="36">
          <cell r="P36">
            <v>562212</v>
          </cell>
          <cell r="Q36">
            <v>0</v>
          </cell>
          <cell r="R36">
            <v>0</v>
          </cell>
          <cell r="S36">
            <v>0</v>
          </cell>
          <cell r="T36">
            <v>1124424</v>
          </cell>
          <cell r="U36">
            <v>0</v>
          </cell>
          <cell r="V36">
            <v>0</v>
          </cell>
          <cell r="W36">
            <v>0</v>
          </cell>
          <cell r="X36">
            <v>1686636</v>
          </cell>
          <cell r="Y36">
            <v>0</v>
          </cell>
          <cell r="Z36">
            <v>0</v>
          </cell>
          <cell r="AA36">
            <v>0</v>
          </cell>
          <cell r="AB36">
            <v>2248848</v>
          </cell>
          <cell r="AC36">
            <v>0</v>
          </cell>
          <cell r="AD36">
            <v>0</v>
          </cell>
          <cell r="AE36">
            <v>0</v>
          </cell>
          <cell r="AF36">
            <v>2811060</v>
          </cell>
          <cell r="AG36">
            <v>0</v>
          </cell>
          <cell r="AH36">
            <v>0</v>
          </cell>
          <cell r="AI36">
            <v>0</v>
          </cell>
          <cell r="AJ36">
            <v>3373272</v>
          </cell>
          <cell r="AK36">
            <v>0</v>
          </cell>
          <cell r="AL36">
            <v>0</v>
          </cell>
          <cell r="AM36">
            <v>0</v>
          </cell>
          <cell r="AN36">
            <v>3935484</v>
          </cell>
          <cell r="AO36">
            <v>0</v>
          </cell>
          <cell r="AP36">
            <v>0</v>
          </cell>
          <cell r="AQ36">
            <v>0</v>
          </cell>
          <cell r="AR36">
            <v>4497696</v>
          </cell>
          <cell r="AS36">
            <v>0</v>
          </cell>
          <cell r="AT36">
            <v>0</v>
          </cell>
          <cell r="AU36">
            <v>0</v>
          </cell>
          <cell r="AV36">
            <v>5059908</v>
          </cell>
          <cell r="AW36">
            <v>0</v>
          </cell>
          <cell r="AX36">
            <v>0</v>
          </cell>
          <cell r="AY36">
            <v>0</v>
          </cell>
          <cell r="AZ36">
            <v>5622120</v>
          </cell>
          <cell r="BA36">
            <v>0</v>
          </cell>
          <cell r="BB36">
            <v>0</v>
          </cell>
          <cell r="BC36">
            <v>0</v>
          </cell>
        </row>
        <row r="57"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0</v>
          </cell>
          <cell r="V57">
            <v>0</v>
          </cell>
          <cell r="W57">
            <v>0</v>
          </cell>
          <cell r="X57">
            <v>3</v>
          </cell>
          <cell r="Y57">
            <v>0</v>
          </cell>
          <cell r="Z57">
            <v>0</v>
          </cell>
          <cell r="AA57">
            <v>0</v>
          </cell>
          <cell r="AB57">
            <v>4</v>
          </cell>
          <cell r="AC57">
            <v>0</v>
          </cell>
          <cell r="AD57">
            <v>0</v>
          </cell>
          <cell r="AE57">
            <v>0</v>
          </cell>
          <cell r="AF57">
            <v>5</v>
          </cell>
          <cell r="AG57">
            <v>0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0</v>
          </cell>
          <cell r="AM57">
            <v>0</v>
          </cell>
          <cell r="AN57">
            <v>7</v>
          </cell>
          <cell r="AO57">
            <v>0</v>
          </cell>
          <cell r="AP57">
            <v>0</v>
          </cell>
          <cell r="AQ57">
            <v>0</v>
          </cell>
          <cell r="AR57">
            <v>8</v>
          </cell>
          <cell r="AS57">
            <v>0</v>
          </cell>
          <cell r="AT57">
            <v>0</v>
          </cell>
          <cell r="AU57">
            <v>0</v>
          </cell>
          <cell r="AV57">
            <v>9</v>
          </cell>
          <cell r="AW57">
            <v>0</v>
          </cell>
          <cell r="AX57">
            <v>0</v>
          </cell>
          <cell r="AY57">
            <v>0</v>
          </cell>
          <cell r="AZ57">
            <v>10</v>
          </cell>
          <cell r="BA57">
            <v>0</v>
          </cell>
          <cell r="BB57">
            <v>0</v>
          </cell>
          <cell r="BC57">
            <v>0</v>
          </cell>
        </row>
        <row r="60">
          <cell r="P60">
            <v>61851.600000000006</v>
          </cell>
          <cell r="Q60">
            <v>0</v>
          </cell>
          <cell r="R60">
            <v>0</v>
          </cell>
          <cell r="S60">
            <v>0</v>
          </cell>
          <cell r="T60">
            <v>123703.20000000001</v>
          </cell>
          <cell r="U60">
            <v>0</v>
          </cell>
          <cell r="V60">
            <v>0</v>
          </cell>
          <cell r="W60">
            <v>0</v>
          </cell>
          <cell r="X60">
            <v>185554.80000000002</v>
          </cell>
          <cell r="Y60">
            <v>0</v>
          </cell>
          <cell r="Z60">
            <v>0</v>
          </cell>
          <cell r="AA60">
            <v>0</v>
          </cell>
          <cell r="AB60">
            <v>247406.40000000002</v>
          </cell>
          <cell r="AC60">
            <v>0</v>
          </cell>
          <cell r="AD60">
            <v>0</v>
          </cell>
          <cell r="AE60">
            <v>0</v>
          </cell>
          <cell r="AF60">
            <v>309258</v>
          </cell>
          <cell r="AG60">
            <v>0</v>
          </cell>
          <cell r="AH60">
            <v>0</v>
          </cell>
          <cell r="AI60">
            <v>0</v>
          </cell>
          <cell r="AJ60">
            <v>371109.60000000003</v>
          </cell>
          <cell r="AK60">
            <v>0</v>
          </cell>
          <cell r="AL60">
            <v>0</v>
          </cell>
          <cell r="AM60">
            <v>0</v>
          </cell>
          <cell r="AN60">
            <v>432961.20000000007</v>
          </cell>
          <cell r="AO60">
            <v>0</v>
          </cell>
          <cell r="AP60">
            <v>0</v>
          </cell>
          <cell r="AQ60">
            <v>0</v>
          </cell>
          <cell r="AR60">
            <v>494812.80000000005</v>
          </cell>
          <cell r="AS60">
            <v>0</v>
          </cell>
          <cell r="AT60">
            <v>0</v>
          </cell>
          <cell r="AU60">
            <v>0</v>
          </cell>
          <cell r="AV60">
            <v>556664.4</v>
          </cell>
          <cell r="AW60">
            <v>0</v>
          </cell>
          <cell r="AX60">
            <v>0</v>
          </cell>
          <cell r="AY60">
            <v>0</v>
          </cell>
          <cell r="AZ60">
            <v>618516</v>
          </cell>
          <cell r="BA60">
            <v>0</v>
          </cell>
          <cell r="BB60">
            <v>0</v>
          </cell>
          <cell r="BC60">
            <v>0</v>
          </cell>
        </row>
        <row r="62">
          <cell r="P62">
            <v>10432.8</v>
          </cell>
          <cell r="Q62">
            <v>0</v>
          </cell>
          <cell r="R62">
            <v>0</v>
          </cell>
          <cell r="S62">
            <v>0</v>
          </cell>
          <cell r="T62">
            <v>20865.6</v>
          </cell>
          <cell r="U62">
            <v>0</v>
          </cell>
          <cell r="V62">
            <v>0</v>
          </cell>
          <cell r="W62">
            <v>0</v>
          </cell>
          <cell r="X62">
            <v>31298.399999999998</v>
          </cell>
          <cell r="Y62">
            <v>0</v>
          </cell>
          <cell r="Z62">
            <v>0</v>
          </cell>
          <cell r="AA62">
            <v>0</v>
          </cell>
          <cell r="AB62">
            <v>41731.2</v>
          </cell>
          <cell r="AC62">
            <v>0</v>
          </cell>
          <cell r="AD62">
            <v>0</v>
          </cell>
          <cell r="AE62">
            <v>0</v>
          </cell>
          <cell r="AF62">
            <v>52164</v>
          </cell>
          <cell r="AG62">
            <v>0</v>
          </cell>
          <cell r="AH62">
            <v>0</v>
          </cell>
          <cell r="AI62">
            <v>0</v>
          </cell>
          <cell r="AJ62">
            <v>62596.799999999996</v>
          </cell>
          <cell r="AK62">
            <v>0</v>
          </cell>
          <cell r="AL62">
            <v>0</v>
          </cell>
          <cell r="AM62">
            <v>0</v>
          </cell>
          <cell r="AN62">
            <v>73029.59999999999</v>
          </cell>
          <cell r="AO62">
            <v>0</v>
          </cell>
          <cell r="AP62">
            <v>0</v>
          </cell>
          <cell r="AQ62">
            <v>0</v>
          </cell>
          <cell r="AR62">
            <v>83462.4</v>
          </cell>
          <cell r="AS62">
            <v>0</v>
          </cell>
          <cell r="AT62">
            <v>0</v>
          </cell>
          <cell r="AU62">
            <v>0</v>
          </cell>
          <cell r="AV62">
            <v>93895.2</v>
          </cell>
          <cell r="AW62">
            <v>0</v>
          </cell>
          <cell r="AX62">
            <v>0</v>
          </cell>
          <cell r="AY62">
            <v>0</v>
          </cell>
          <cell r="AZ62">
            <v>104328</v>
          </cell>
          <cell r="BA62">
            <v>0</v>
          </cell>
          <cell r="BB62">
            <v>0</v>
          </cell>
          <cell r="BC62">
            <v>0</v>
          </cell>
        </row>
        <row r="82"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2</v>
          </cell>
          <cell r="U82">
            <v>0</v>
          </cell>
          <cell r="V82">
            <v>0</v>
          </cell>
          <cell r="W82">
            <v>0</v>
          </cell>
          <cell r="X82">
            <v>3</v>
          </cell>
          <cell r="Y82">
            <v>0</v>
          </cell>
          <cell r="Z82">
            <v>0</v>
          </cell>
          <cell r="AA82">
            <v>0</v>
          </cell>
          <cell r="AB82">
            <v>4</v>
          </cell>
          <cell r="AC82">
            <v>0</v>
          </cell>
          <cell r="AD82">
            <v>0</v>
          </cell>
          <cell r="AE82">
            <v>0</v>
          </cell>
          <cell r="AF82">
            <v>5</v>
          </cell>
          <cell r="AG82">
            <v>0</v>
          </cell>
          <cell r="AH82">
            <v>0</v>
          </cell>
          <cell r="AI82">
            <v>0</v>
          </cell>
          <cell r="AJ82">
            <v>6</v>
          </cell>
          <cell r="AK82">
            <v>0</v>
          </cell>
          <cell r="AL82">
            <v>0</v>
          </cell>
          <cell r="AM82">
            <v>0</v>
          </cell>
          <cell r="AN82">
            <v>7</v>
          </cell>
          <cell r="AO82">
            <v>0</v>
          </cell>
          <cell r="AP82">
            <v>0</v>
          </cell>
          <cell r="AQ82">
            <v>0</v>
          </cell>
          <cell r="AR82">
            <v>8</v>
          </cell>
          <cell r="AS82">
            <v>0</v>
          </cell>
          <cell r="AT82">
            <v>0</v>
          </cell>
          <cell r="AU82">
            <v>0</v>
          </cell>
          <cell r="AV82">
            <v>9</v>
          </cell>
          <cell r="AW82">
            <v>0</v>
          </cell>
          <cell r="AX82">
            <v>0</v>
          </cell>
          <cell r="AY82">
            <v>0</v>
          </cell>
          <cell r="AZ82">
            <v>10</v>
          </cell>
          <cell r="BA82">
            <v>0</v>
          </cell>
          <cell r="BB82">
            <v>0</v>
          </cell>
          <cell r="BC82">
            <v>0</v>
          </cell>
        </row>
        <row r="85">
          <cell r="P85">
            <v>56903.471999999994</v>
          </cell>
          <cell r="Q85">
            <v>0</v>
          </cell>
          <cell r="R85">
            <v>0</v>
          </cell>
          <cell r="S85">
            <v>0</v>
          </cell>
          <cell r="T85">
            <v>113806.94399999999</v>
          </cell>
          <cell r="U85">
            <v>0</v>
          </cell>
          <cell r="V85">
            <v>0</v>
          </cell>
          <cell r="W85">
            <v>0</v>
          </cell>
          <cell r="X85">
            <v>170710.41599999997</v>
          </cell>
          <cell r="Y85">
            <v>0</v>
          </cell>
          <cell r="Z85">
            <v>0</v>
          </cell>
          <cell r="AA85">
            <v>0</v>
          </cell>
          <cell r="AB85">
            <v>227613.88799999998</v>
          </cell>
          <cell r="AC85">
            <v>0</v>
          </cell>
          <cell r="AD85">
            <v>0</v>
          </cell>
          <cell r="AE85">
            <v>0</v>
          </cell>
          <cell r="AF85">
            <v>284517.36</v>
          </cell>
          <cell r="AG85">
            <v>0</v>
          </cell>
          <cell r="AH85">
            <v>0</v>
          </cell>
          <cell r="AI85">
            <v>0</v>
          </cell>
          <cell r="AJ85">
            <v>341420.83199999994</v>
          </cell>
          <cell r="AK85">
            <v>0</v>
          </cell>
          <cell r="AL85">
            <v>0</v>
          </cell>
          <cell r="AM85">
            <v>0</v>
          </cell>
          <cell r="AN85">
            <v>398324.30399999995</v>
          </cell>
          <cell r="AO85">
            <v>0</v>
          </cell>
          <cell r="AP85">
            <v>0</v>
          </cell>
          <cell r="AQ85">
            <v>0</v>
          </cell>
          <cell r="AR85">
            <v>455227.77599999995</v>
          </cell>
          <cell r="AS85">
            <v>0</v>
          </cell>
          <cell r="AT85">
            <v>0</v>
          </cell>
          <cell r="AU85">
            <v>0</v>
          </cell>
          <cell r="AV85">
            <v>512131.24799999996</v>
          </cell>
          <cell r="AW85">
            <v>0</v>
          </cell>
          <cell r="AX85">
            <v>0</v>
          </cell>
          <cell r="AY85">
            <v>0</v>
          </cell>
          <cell r="AZ85">
            <v>569034.72</v>
          </cell>
          <cell r="BA85">
            <v>0</v>
          </cell>
          <cell r="BB85">
            <v>0</v>
          </cell>
          <cell r="BC85">
            <v>0</v>
          </cell>
        </row>
        <row r="87">
          <cell r="P87">
            <v>9598.176</v>
          </cell>
          <cell r="Q87">
            <v>0</v>
          </cell>
          <cell r="R87">
            <v>0</v>
          </cell>
          <cell r="S87">
            <v>0</v>
          </cell>
          <cell r="T87">
            <v>19196.352</v>
          </cell>
          <cell r="U87">
            <v>0</v>
          </cell>
          <cell r="V87">
            <v>0</v>
          </cell>
          <cell r="W87">
            <v>0</v>
          </cell>
          <cell r="X87">
            <v>28794.528</v>
          </cell>
          <cell r="Y87">
            <v>0</v>
          </cell>
          <cell r="Z87">
            <v>0</v>
          </cell>
          <cell r="AA87">
            <v>0</v>
          </cell>
          <cell r="AB87">
            <v>38392.704</v>
          </cell>
          <cell r="AC87">
            <v>0</v>
          </cell>
          <cell r="AD87">
            <v>0</v>
          </cell>
          <cell r="AE87">
            <v>0</v>
          </cell>
          <cell r="AF87">
            <v>47990.88</v>
          </cell>
          <cell r="AG87">
            <v>0</v>
          </cell>
          <cell r="AH87">
            <v>0</v>
          </cell>
          <cell r="AI87">
            <v>0</v>
          </cell>
          <cell r="AJ87">
            <v>57589.056</v>
          </cell>
          <cell r="AK87">
            <v>0</v>
          </cell>
          <cell r="AL87">
            <v>0</v>
          </cell>
          <cell r="AM87">
            <v>0</v>
          </cell>
          <cell r="AN87">
            <v>67187.23199999999</v>
          </cell>
          <cell r="AO87">
            <v>0</v>
          </cell>
          <cell r="AP87">
            <v>0</v>
          </cell>
          <cell r="AQ87">
            <v>0</v>
          </cell>
          <cell r="AR87">
            <v>76785.408</v>
          </cell>
          <cell r="AS87">
            <v>0</v>
          </cell>
          <cell r="AT87">
            <v>0</v>
          </cell>
          <cell r="AU87">
            <v>0</v>
          </cell>
          <cell r="AV87">
            <v>86383.584</v>
          </cell>
          <cell r="AW87">
            <v>0</v>
          </cell>
          <cell r="AX87">
            <v>0</v>
          </cell>
          <cell r="AY87">
            <v>0</v>
          </cell>
          <cell r="AZ87">
            <v>95981.76</v>
          </cell>
          <cell r="BA87">
            <v>0</v>
          </cell>
          <cell r="BB87">
            <v>0</v>
          </cell>
          <cell r="BC87">
            <v>0</v>
          </cell>
        </row>
        <row r="107"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2</v>
          </cell>
          <cell r="U107">
            <v>0</v>
          </cell>
          <cell r="V107">
            <v>0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0</v>
          </cell>
          <cell r="AB107">
            <v>4</v>
          </cell>
          <cell r="AC107">
            <v>0</v>
          </cell>
          <cell r="AD107">
            <v>0</v>
          </cell>
          <cell r="AE107">
            <v>0</v>
          </cell>
          <cell r="AF107">
            <v>5</v>
          </cell>
          <cell r="AG107">
            <v>0</v>
          </cell>
          <cell r="AH107">
            <v>0</v>
          </cell>
          <cell r="AI107">
            <v>0</v>
          </cell>
          <cell r="AJ107">
            <v>6</v>
          </cell>
          <cell r="AK107">
            <v>0</v>
          </cell>
          <cell r="AL107">
            <v>0</v>
          </cell>
          <cell r="AM107">
            <v>0</v>
          </cell>
          <cell r="AN107">
            <v>7</v>
          </cell>
          <cell r="AO107">
            <v>0</v>
          </cell>
          <cell r="AP107">
            <v>0</v>
          </cell>
          <cell r="AQ107">
            <v>0</v>
          </cell>
          <cell r="AR107">
            <v>8</v>
          </cell>
          <cell r="AS107">
            <v>0</v>
          </cell>
          <cell r="AT107">
            <v>0</v>
          </cell>
          <cell r="AU107">
            <v>0</v>
          </cell>
          <cell r="AV107">
            <v>9</v>
          </cell>
          <cell r="AW107">
            <v>0</v>
          </cell>
          <cell r="AX107">
            <v>0</v>
          </cell>
          <cell r="AY107">
            <v>0</v>
          </cell>
          <cell r="AZ107">
            <v>10</v>
          </cell>
          <cell r="BA107">
            <v>0</v>
          </cell>
          <cell r="BB107">
            <v>0</v>
          </cell>
          <cell r="BC107">
            <v>0</v>
          </cell>
        </row>
        <row r="110">
          <cell r="P110">
            <v>137448</v>
          </cell>
          <cell r="Q110">
            <v>0</v>
          </cell>
          <cell r="R110">
            <v>0</v>
          </cell>
          <cell r="S110">
            <v>0</v>
          </cell>
          <cell r="T110">
            <v>274896</v>
          </cell>
          <cell r="U110">
            <v>0</v>
          </cell>
          <cell r="V110">
            <v>0</v>
          </cell>
          <cell r="W110">
            <v>0</v>
          </cell>
          <cell r="X110">
            <v>412344</v>
          </cell>
          <cell r="Y110">
            <v>0</v>
          </cell>
          <cell r="Z110">
            <v>0</v>
          </cell>
          <cell r="AA110">
            <v>0</v>
          </cell>
          <cell r="AB110">
            <v>549792</v>
          </cell>
          <cell r="AC110">
            <v>0</v>
          </cell>
          <cell r="AD110">
            <v>0</v>
          </cell>
          <cell r="AE110">
            <v>0</v>
          </cell>
          <cell r="AF110">
            <v>687240</v>
          </cell>
          <cell r="AG110">
            <v>0</v>
          </cell>
          <cell r="AH110">
            <v>0</v>
          </cell>
          <cell r="AI110">
            <v>0</v>
          </cell>
          <cell r="AJ110">
            <v>824688</v>
          </cell>
          <cell r="AK110">
            <v>0</v>
          </cell>
          <cell r="AL110">
            <v>0</v>
          </cell>
          <cell r="AM110">
            <v>0</v>
          </cell>
          <cell r="AN110">
            <v>962136</v>
          </cell>
          <cell r="AO110">
            <v>0</v>
          </cell>
          <cell r="AP110">
            <v>0</v>
          </cell>
          <cell r="AQ110">
            <v>0</v>
          </cell>
          <cell r="AR110">
            <v>1099584</v>
          </cell>
          <cell r="AS110">
            <v>0</v>
          </cell>
          <cell r="AT110">
            <v>0</v>
          </cell>
          <cell r="AU110">
            <v>0</v>
          </cell>
          <cell r="AV110">
            <v>1237032</v>
          </cell>
          <cell r="AW110">
            <v>0</v>
          </cell>
          <cell r="AX110">
            <v>0</v>
          </cell>
          <cell r="AY110">
            <v>0</v>
          </cell>
          <cell r="AZ110">
            <v>1374480</v>
          </cell>
          <cell r="BA110">
            <v>0</v>
          </cell>
          <cell r="BB110">
            <v>0</v>
          </cell>
          <cell r="BC110">
            <v>0</v>
          </cell>
        </row>
        <row r="112">
          <cell r="P112">
            <v>23184</v>
          </cell>
          <cell r="Q112">
            <v>0</v>
          </cell>
          <cell r="R112">
            <v>0</v>
          </cell>
          <cell r="S112">
            <v>0</v>
          </cell>
          <cell r="T112">
            <v>46368</v>
          </cell>
          <cell r="U112">
            <v>0</v>
          </cell>
          <cell r="V112">
            <v>0</v>
          </cell>
          <cell r="W112">
            <v>0</v>
          </cell>
          <cell r="X112">
            <v>69552</v>
          </cell>
          <cell r="Y112">
            <v>0</v>
          </cell>
          <cell r="Z112">
            <v>0</v>
          </cell>
          <cell r="AA112">
            <v>0</v>
          </cell>
          <cell r="AB112">
            <v>92736</v>
          </cell>
          <cell r="AC112">
            <v>0</v>
          </cell>
          <cell r="AD112">
            <v>0</v>
          </cell>
          <cell r="AE112">
            <v>0</v>
          </cell>
          <cell r="AF112">
            <v>115920</v>
          </cell>
          <cell r="AG112">
            <v>0</v>
          </cell>
          <cell r="AH112">
            <v>0</v>
          </cell>
          <cell r="AI112">
            <v>0</v>
          </cell>
          <cell r="AJ112">
            <v>139104</v>
          </cell>
          <cell r="AK112">
            <v>0</v>
          </cell>
          <cell r="AL112">
            <v>0</v>
          </cell>
          <cell r="AM112">
            <v>0</v>
          </cell>
          <cell r="AN112">
            <v>162288</v>
          </cell>
          <cell r="AO112">
            <v>0</v>
          </cell>
          <cell r="AP112">
            <v>0</v>
          </cell>
          <cell r="AQ112">
            <v>0</v>
          </cell>
          <cell r="AR112">
            <v>185472</v>
          </cell>
          <cell r="AS112">
            <v>0</v>
          </cell>
          <cell r="AT112">
            <v>0</v>
          </cell>
          <cell r="AU112">
            <v>0</v>
          </cell>
          <cell r="AV112">
            <v>208656</v>
          </cell>
          <cell r="AW112">
            <v>0</v>
          </cell>
          <cell r="AX112">
            <v>0</v>
          </cell>
          <cell r="AY112">
            <v>0</v>
          </cell>
          <cell r="AZ112">
            <v>231840</v>
          </cell>
          <cell r="BA112">
            <v>0</v>
          </cell>
          <cell r="BB112">
            <v>0</v>
          </cell>
          <cell r="BC1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28"/>
  <sheetViews>
    <sheetView zoomScale="75" zoomScaleNormal="75" zoomScalePageLayoutView="50" workbookViewId="0" topLeftCell="A1">
      <selection activeCell="BF7" sqref="BF7"/>
    </sheetView>
  </sheetViews>
  <sheetFormatPr defaultColWidth="9.00390625" defaultRowHeight="13.5"/>
  <cols>
    <col min="2" max="56" width="3.125" style="0" customWidth="1"/>
  </cols>
  <sheetData>
    <row r="1" spans="2:56" ht="18.7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2:56" ht="18.75" customHeight="1">
      <c r="B2" s="300" t="s">
        <v>116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</row>
    <row r="3" spans="2:56" ht="18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</row>
    <row r="4" spans="2:56" ht="18.7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9" t="s">
        <v>101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7"/>
      <c r="AT4" s="7"/>
      <c r="AU4" s="7"/>
      <c r="AV4" s="7"/>
      <c r="AW4" s="7"/>
      <c r="AX4" s="302">
        <v>43750</v>
      </c>
      <c r="AY4" s="302"/>
      <c r="AZ4" s="302"/>
      <c r="BA4" s="302"/>
      <c r="BB4" s="302"/>
      <c r="BC4" s="302"/>
      <c r="BD4" s="7"/>
    </row>
    <row r="5" spans="2:56" ht="18.75" customHeight="1" thickTop="1">
      <c r="B5" s="303" t="s">
        <v>30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5"/>
      <c r="X5" s="9"/>
      <c r="Y5" s="306" t="s">
        <v>31</v>
      </c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9"/>
    </row>
    <row r="6" spans="2:56" ht="18.75" customHeight="1">
      <c r="B6" s="265" t="s">
        <v>32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310" t="s">
        <v>115</v>
      </c>
      <c r="N6" s="311"/>
      <c r="O6" s="311"/>
      <c r="P6" s="311"/>
      <c r="Q6" s="311"/>
      <c r="R6" s="311"/>
      <c r="S6" s="311"/>
      <c r="T6" s="311"/>
      <c r="U6" s="311"/>
      <c r="V6" s="311"/>
      <c r="W6" s="312"/>
      <c r="X6" s="9"/>
      <c r="Y6" s="313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5" t="s">
        <v>106</v>
      </c>
      <c r="AM6" s="316"/>
      <c r="AN6" s="316"/>
      <c r="AO6" s="316"/>
      <c r="AP6" s="316"/>
      <c r="AQ6" s="316"/>
      <c r="AR6" s="316"/>
      <c r="AS6" s="317" t="s">
        <v>118</v>
      </c>
      <c r="AT6" s="318"/>
      <c r="AU6" s="318"/>
      <c r="AV6" s="318"/>
      <c r="AW6" s="318"/>
      <c r="AX6" s="318"/>
      <c r="AY6" s="318"/>
      <c r="AZ6" s="95" t="s">
        <v>33</v>
      </c>
      <c r="BA6" s="95"/>
      <c r="BB6" s="95"/>
      <c r="BC6" s="95"/>
      <c r="BD6" s="319"/>
    </row>
    <row r="7" spans="2:56" ht="18.75" customHeight="1">
      <c r="B7" s="265" t="s">
        <v>34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86" t="s">
        <v>117</v>
      </c>
      <c r="N7" s="287"/>
      <c r="O7" s="287"/>
      <c r="P7" s="287"/>
      <c r="Q7" s="287"/>
      <c r="R7" s="287"/>
      <c r="S7" s="287"/>
      <c r="T7" s="287"/>
      <c r="U7" s="287"/>
      <c r="V7" s="287"/>
      <c r="W7" s="288"/>
      <c r="X7" s="9"/>
      <c r="Y7" s="320" t="s">
        <v>35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22"/>
      <c r="AL7" s="321" t="s">
        <v>107</v>
      </c>
      <c r="AM7" s="95"/>
      <c r="AN7" s="95"/>
      <c r="AO7" s="95"/>
      <c r="AP7" s="95"/>
      <c r="AQ7" s="95"/>
      <c r="AR7" s="95"/>
      <c r="AS7" s="322" t="s">
        <v>109</v>
      </c>
      <c r="AT7" s="318"/>
      <c r="AU7" s="318"/>
      <c r="AV7" s="318"/>
      <c r="AW7" s="318"/>
      <c r="AX7" s="318"/>
      <c r="AY7" s="318"/>
      <c r="AZ7" s="323"/>
      <c r="BA7" s="323"/>
      <c r="BB7" s="323"/>
      <c r="BC7" s="323"/>
      <c r="BD7" s="324"/>
    </row>
    <row r="8" spans="2:56" ht="18.75" customHeight="1">
      <c r="B8" s="265" t="s">
        <v>36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86" t="s">
        <v>65</v>
      </c>
      <c r="N8" s="287"/>
      <c r="O8" s="287"/>
      <c r="P8" s="287"/>
      <c r="Q8" s="287"/>
      <c r="R8" s="287"/>
      <c r="S8" s="287"/>
      <c r="T8" s="287"/>
      <c r="U8" s="287"/>
      <c r="V8" s="287"/>
      <c r="W8" s="288"/>
      <c r="X8" s="9"/>
      <c r="Y8" s="238" t="s">
        <v>102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23">
        <v>40</v>
      </c>
      <c r="AM8" s="224"/>
      <c r="AN8" s="224"/>
      <c r="AO8" s="224"/>
      <c r="AP8" s="225"/>
      <c r="AQ8" s="213" t="s">
        <v>37</v>
      </c>
      <c r="AR8" s="214"/>
      <c r="AS8" s="223">
        <v>40</v>
      </c>
      <c r="AT8" s="224"/>
      <c r="AU8" s="224"/>
      <c r="AV8" s="224"/>
      <c r="AW8" s="225"/>
      <c r="AX8" s="213" t="s">
        <v>37</v>
      </c>
      <c r="AY8" s="214"/>
      <c r="AZ8" s="289">
        <f aca="true" t="shared" si="0" ref="AZ8:AZ17">AS8-AL8</f>
        <v>0</v>
      </c>
      <c r="BA8" s="289"/>
      <c r="BB8" s="289"/>
      <c r="BC8" s="289"/>
      <c r="BD8" s="290"/>
    </row>
    <row r="9" spans="2:56" ht="18.75" customHeight="1">
      <c r="B9" s="435" t="s">
        <v>38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291" t="s">
        <v>39</v>
      </c>
      <c r="N9" s="292"/>
      <c r="O9" s="293">
        <v>0.518</v>
      </c>
      <c r="P9" s="294"/>
      <c r="Q9" s="291" t="s">
        <v>40</v>
      </c>
      <c r="R9" s="292"/>
      <c r="S9" s="295">
        <v>0.518</v>
      </c>
      <c r="T9" s="296"/>
      <c r="U9" s="297" t="s">
        <v>41</v>
      </c>
      <c r="V9" s="298"/>
      <c r="W9" s="299"/>
      <c r="X9" s="9"/>
      <c r="Y9" s="236" t="s">
        <v>42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23">
        <v>415</v>
      </c>
      <c r="AM9" s="224"/>
      <c r="AN9" s="224"/>
      <c r="AO9" s="224"/>
      <c r="AP9" s="225"/>
      <c r="AQ9" s="213" t="s">
        <v>43</v>
      </c>
      <c r="AR9" s="214"/>
      <c r="AS9" s="223">
        <v>70</v>
      </c>
      <c r="AT9" s="224"/>
      <c r="AU9" s="224"/>
      <c r="AV9" s="224"/>
      <c r="AW9" s="225"/>
      <c r="AX9" s="213" t="s">
        <v>43</v>
      </c>
      <c r="AY9" s="214"/>
      <c r="AZ9" s="282">
        <f t="shared" si="0"/>
        <v>-345</v>
      </c>
      <c r="BA9" s="282"/>
      <c r="BB9" s="282"/>
      <c r="BC9" s="282"/>
      <c r="BD9" s="283"/>
    </row>
    <row r="10" spans="2:56" ht="18.75" customHeight="1">
      <c r="B10" s="265" t="s">
        <v>44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>
        <v>11.4</v>
      </c>
      <c r="N10" s="268"/>
      <c r="O10" s="268"/>
      <c r="P10" s="268"/>
      <c r="Q10" s="267" t="s">
        <v>45</v>
      </c>
      <c r="R10" s="268"/>
      <c r="S10" s="269">
        <v>12.3</v>
      </c>
      <c r="T10" s="270"/>
      <c r="U10" s="271" t="s">
        <v>46</v>
      </c>
      <c r="V10" s="272"/>
      <c r="W10" s="273"/>
      <c r="X10" s="9"/>
      <c r="Y10" s="236" t="s">
        <v>47</v>
      </c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23">
        <v>10</v>
      </c>
      <c r="AM10" s="224"/>
      <c r="AN10" s="224"/>
      <c r="AO10" s="224"/>
      <c r="AP10" s="225"/>
      <c r="AQ10" s="213" t="s">
        <v>48</v>
      </c>
      <c r="AR10" s="214"/>
      <c r="AS10" s="223">
        <v>10</v>
      </c>
      <c r="AT10" s="224"/>
      <c r="AU10" s="224"/>
      <c r="AV10" s="224"/>
      <c r="AW10" s="225"/>
      <c r="AX10" s="213" t="s">
        <v>48</v>
      </c>
      <c r="AY10" s="214"/>
      <c r="AZ10" s="284">
        <f t="shared" si="0"/>
        <v>0</v>
      </c>
      <c r="BA10" s="284"/>
      <c r="BB10" s="284"/>
      <c r="BC10" s="284"/>
      <c r="BD10" s="285"/>
    </row>
    <row r="11" spans="2:56" ht="18.75" customHeight="1" thickBot="1">
      <c r="B11" s="274" t="s">
        <v>49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6">
        <v>1963</v>
      </c>
      <c r="N11" s="277"/>
      <c r="O11" s="277"/>
      <c r="P11" s="277"/>
      <c r="Q11" s="277"/>
      <c r="R11" s="277"/>
      <c r="S11" s="277"/>
      <c r="T11" s="278"/>
      <c r="U11" s="279" t="s">
        <v>46</v>
      </c>
      <c r="V11" s="280"/>
      <c r="W11" s="281"/>
      <c r="X11" s="9"/>
      <c r="Y11" s="236" t="s">
        <v>50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60">
        <v>23</v>
      </c>
      <c r="AM11" s="261"/>
      <c r="AN11" s="261"/>
      <c r="AO11" s="261"/>
      <c r="AP11" s="262"/>
      <c r="AQ11" s="213" t="s">
        <v>51</v>
      </c>
      <c r="AR11" s="214"/>
      <c r="AS11" s="260">
        <v>23</v>
      </c>
      <c r="AT11" s="261"/>
      <c r="AU11" s="261"/>
      <c r="AV11" s="261"/>
      <c r="AW11" s="262"/>
      <c r="AX11" s="213" t="s">
        <v>51</v>
      </c>
      <c r="AY11" s="214"/>
      <c r="AZ11" s="263">
        <f t="shared" si="0"/>
        <v>0</v>
      </c>
      <c r="BA11" s="263"/>
      <c r="BB11" s="263"/>
      <c r="BC11" s="263"/>
      <c r="BD11" s="264"/>
    </row>
    <row r="12" spans="2:56" ht="18.75" customHeight="1" thickBot="1" thickTop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54"/>
      <c r="S12" s="254"/>
      <c r="T12" s="254"/>
      <c r="U12" s="254"/>
      <c r="V12" s="10"/>
      <c r="W12" s="10"/>
      <c r="X12" s="9"/>
      <c r="Y12" s="236" t="s">
        <v>52</v>
      </c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55">
        <f>(AL8*AL9)/1000</f>
        <v>16.6</v>
      </c>
      <c r="AM12" s="256"/>
      <c r="AN12" s="256"/>
      <c r="AO12" s="256"/>
      <c r="AP12" s="256"/>
      <c r="AQ12" s="256"/>
      <c r="AR12" s="257"/>
      <c r="AS12" s="258">
        <f>(AS8*AS9)/1000</f>
        <v>2.8</v>
      </c>
      <c r="AT12" s="258"/>
      <c r="AU12" s="258"/>
      <c r="AV12" s="258"/>
      <c r="AW12" s="258"/>
      <c r="AX12" s="258"/>
      <c r="AY12" s="258"/>
      <c r="AZ12" s="258">
        <f t="shared" si="0"/>
        <v>-13.8</v>
      </c>
      <c r="BA12" s="258"/>
      <c r="BB12" s="258"/>
      <c r="BC12" s="258"/>
      <c r="BD12" s="259"/>
    </row>
    <row r="13" spans="2:56" ht="18.75" customHeight="1" thickTop="1">
      <c r="B13" s="251" t="s">
        <v>119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3"/>
      <c r="X13" s="9"/>
      <c r="Y13" s="236" t="s">
        <v>53</v>
      </c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26">
        <f>AL12*AL10*AL11*$M$10+M11*AL12</f>
        <v>76111</v>
      </c>
      <c r="AM13" s="226"/>
      <c r="AN13" s="226"/>
      <c r="AO13" s="226"/>
      <c r="AP13" s="226"/>
      <c r="AQ13" s="226"/>
      <c r="AR13" s="226"/>
      <c r="AS13" s="226">
        <f>AS12*AS10*AS11*$M$10+M11*AS12</f>
        <v>12838</v>
      </c>
      <c r="AT13" s="226"/>
      <c r="AU13" s="226"/>
      <c r="AV13" s="226"/>
      <c r="AW13" s="226"/>
      <c r="AX13" s="226"/>
      <c r="AY13" s="226"/>
      <c r="AZ13" s="226">
        <f t="shared" si="0"/>
        <v>-63273</v>
      </c>
      <c r="BA13" s="226"/>
      <c r="BB13" s="226"/>
      <c r="BC13" s="226"/>
      <c r="BD13" s="227"/>
    </row>
    <row r="14" spans="2:56" ht="18.75" customHeight="1">
      <c r="B14" s="245" t="s">
        <v>54</v>
      </c>
      <c r="C14" s="246"/>
      <c r="D14" s="246"/>
      <c r="E14" s="247"/>
      <c r="F14" s="248">
        <v>0.518</v>
      </c>
      <c r="G14" s="249"/>
      <c r="H14" s="249"/>
      <c r="I14" s="78" t="s">
        <v>55</v>
      </c>
      <c r="J14" s="249">
        <v>0.518</v>
      </c>
      <c r="K14" s="249"/>
      <c r="L14" s="250"/>
      <c r="M14" s="234" t="s">
        <v>56</v>
      </c>
      <c r="N14" s="229"/>
      <c r="O14" s="229"/>
      <c r="P14" s="230"/>
      <c r="Q14" s="229">
        <v>0.518</v>
      </c>
      <c r="R14" s="229"/>
      <c r="S14" s="229"/>
      <c r="T14" s="11" t="s">
        <v>57</v>
      </c>
      <c r="U14" s="229">
        <v>0.518</v>
      </c>
      <c r="V14" s="229"/>
      <c r="W14" s="235"/>
      <c r="X14" s="9"/>
      <c r="Y14" s="236" t="s">
        <v>58</v>
      </c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26">
        <f>AL13*9+AL12*AL10*AL11*S10*3+AL12*M11*3</f>
        <v>923640.6</v>
      </c>
      <c r="AM14" s="226"/>
      <c r="AN14" s="226"/>
      <c r="AO14" s="226"/>
      <c r="AP14" s="226"/>
      <c r="AQ14" s="226"/>
      <c r="AR14" s="226"/>
      <c r="AS14" s="226">
        <f>AS13*9+S10*AS10*AS11*AS12*3+AS12*M11*3</f>
        <v>155794.8</v>
      </c>
      <c r="AT14" s="226"/>
      <c r="AU14" s="226"/>
      <c r="AV14" s="226"/>
      <c r="AW14" s="226"/>
      <c r="AX14" s="226"/>
      <c r="AY14" s="226"/>
      <c r="AZ14" s="226">
        <f t="shared" si="0"/>
        <v>-767845.8</v>
      </c>
      <c r="BA14" s="226"/>
      <c r="BB14" s="226"/>
      <c r="BC14" s="226"/>
      <c r="BD14" s="227"/>
    </row>
    <row r="15" spans="2:56" ht="18.75" customHeight="1">
      <c r="B15" s="245" t="s">
        <v>59</v>
      </c>
      <c r="C15" s="246"/>
      <c r="D15" s="246"/>
      <c r="E15" s="247"/>
      <c r="F15" s="248">
        <v>0.518</v>
      </c>
      <c r="G15" s="249"/>
      <c r="H15" s="249"/>
      <c r="I15" s="78" t="s">
        <v>60</v>
      </c>
      <c r="J15" s="249">
        <v>0.518</v>
      </c>
      <c r="K15" s="249"/>
      <c r="L15" s="250"/>
      <c r="M15" s="433" t="s">
        <v>61</v>
      </c>
      <c r="N15" s="246"/>
      <c r="O15" s="246"/>
      <c r="P15" s="247"/>
      <c r="Q15" s="229">
        <v>0.518</v>
      </c>
      <c r="R15" s="229"/>
      <c r="S15" s="229"/>
      <c r="T15" s="11" t="s">
        <v>60</v>
      </c>
      <c r="U15" s="229">
        <v>0.518</v>
      </c>
      <c r="V15" s="229"/>
      <c r="W15" s="235"/>
      <c r="X15" s="9"/>
      <c r="Y15" s="238" t="s">
        <v>108</v>
      </c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10">
        <v>6500</v>
      </c>
      <c r="AM15" s="211"/>
      <c r="AN15" s="211"/>
      <c r="AO15" s="211"/>
      <c r="AP15" s="212"/>
      <c r="AQ15" s="213" t="s">
        <v>46</v>
      </c>
      <c r="AR15" s="214"/>
      <c r="AS15" s="210">
        <v>70000</v>
      </c>
      <c r="AT15" s="211"/>
      <c r="AU15" s="211"/>
      <c r="AV15" s="211"/>
      <c r="AW15" s="212"/>
      <c r="AX15" s="213" t="s">
        <v>46</v>
      </c>
      <c r="AY15" s="214"/>
      <c r="AZ15" s="226">
        <f t="shared" si="0"/>
        <v>63500</v>
      </c>
      <c r="BA15" s="226"/>
      <c r="BB15" s="226"/>
      <c r="BC15" s="226"/>
      <c r="BD15" s="227"/>
    </row>
    <row r="16" spans="2:56" ht="18.75" customHeight="1">
      <c r="B16" s="228" t="s">
        <v>62</v>
      </c>
      <c r="C16" s="229"/>
      <c r="D16" s="229"/>
      <c r="E16" s="230"/>
      <c r="F16" s="231">
        <v>0.518</v>
      </c>
      <c r="G16" s="232"/>
      <c r="H16" s="232"/>
      <c r="I16" s="11" t="s">
        <v>60</v>
      </c>
      <c r="J16" s="232">
        <v>0.518</v>
      </c>
      <c r="K16" s="232"/>
      <c r="L16" s="233"/>
      <c r="M16" s="433" t="s">
        <v>63</v>
      </c>
      <c r="N16" s="246"/>
      <c r="O16" s="246"/>
      <c r="P16" s="247"/>
      <c r="Q16" s="246">
        <v>0.518</v>
      </c>
      <c r="R16" s="246"/>
      <c r="S16" s="246"/>
      <c r="T16" s="78" t="s">
        <v>60</v>
      </c>
      <c r="U16" s="246">
        <v>0.518</v>
      </c>
      <c r="V16" s="246"/>
      <c r="W16" s="434"/>
      <c r="X16" s="9"/>
      <c r="Y16" s="236" t="s">
        <v>64</v>
      </c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42">
        <v>0</v>
      </c>
      <c r="AM16" s="243"/>
      <c r="AN16" s="243"/>
      <c r="AO16" s="243"/>
      <c r="AP16" s="244"/>
      <c r="AQ16" s="213" t="s">
        <v>46</v>
      </c>
      <c r="AR16" s="214"/>
      <c r="AS16" s="223">
        <v>0</v>
      </c>
      <c r="AT16" s="224"/>
      <c r="AU16" s="224"/>
      <c r="AV16" s="224"/>
      <c r="AW16" s="225"/>
      <c r="AX16" s="213" t="s">
        <v>46</v>
      </c>
      <c r="AY16" s="214"/>
      <c r="AZ16" s="226">
        <f t="shared" si="0"/>
        <v>0</v>
      </c>
      <c r="BA16" s="226"/>
      <c r="BB16" s="226"/>
      <c r="BC16" s="226"/>
      <c r="BD16" s="227"/>
    </row>
    <row r="17" spans="2:56" ht="18.75" customHeight="1">
      <c r="B17" s="429" t="s">
        <v>65</v>
      </c>
      <c r="C17" s="240"/>
      <c r="D17" s="240"/>
      <c r="E17" s="241"/>
      <c r="F17" s="430">
        <v>0.518</v>
      </c>
      <c r="G17" s="431"/>
      <c r="H17" s="431"/>
      <c r="I17" s="77" t="s">
        <v>60</v>
      </c>
      <c r="J17" s="431">
        <v>0.518</v>
      </c>
      <c r="K17" s="431"/>
      <c r="L17" s="432"/>
      <c r="M17" s="234" t="s">
        <v>66</v>
      </c>
      <c r="N17" s="229"/>
      <c r="O17" s="229"/>
      <c r="P17" s="230"/>
      <c r="Q17" s="229">
        <v>0.518</v>
      </c>
      <c r="R17" s="229"/>
      <c r="S17" s="229"/>
      <c r="T17" s="11" t="s">
        <v>60</v>
      </c>
      <c r="U17" s="229">
        <v>0.518</v>
      </c>
      <c r="V17" s="229"/>
      <c r="W17" s="235"/>
      <c r="X17" s="9"/>
      <c r="Y17" s="236" t="s">
        <v>67</v>
      </c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10">
        <v>12000</v>
      </c>
      <c r="AM17" s="211"/>
      <c r="AN17" s="211"/>
      <c r="AO17" s="211"/>
      <c r="AP17" s="212"/>
      <c r="AQ17" s="213" t="s">
        <v>48</v>
      </c>
      <c r="AR17" s="214"/>
      <c r="AS17" s="210">
        <v>50000</v>
      </c>
      <c r="AT17" s="211"/>
      <c r="AU17" s="211"/>
      <c r="AV17" s="211"/>
      <c r="AW17" s="212"/>
      <c r="AX17" s="213" t="s">
        <v>48</v>
      </c>
      <c r="AY17" s="214"/>
      <c r="AZ17" s="215">
        <f t="shared" si="0"/>
        <v>38000</v>
      </c>
      <c r="BA17" s="215"/>
      <c r="BB17" s="215"/>
      <c r="BC17" s="215"/>
      <c r="BD17" s="216"/>
    </row>
    <row r="18" spans="2:56" ht="18.75" customHeight="1" thickBot="1">
      <c r="B18" s="217" t="s">
        <v>68</v>
      </c>
      <c r="C18" s="199"/>
      <c r="D18" s="199"/>
      <c r="E18" s="218"/>
      <c r="F18" s="219">
        <v>0.518</v>
      </c>
      <c r="G18" s="220"/>
      <c r="H18" s="220"/>
      <c r="I18" s="12" t="s">
        <v>60</v>
      </c>
      <c r="J18" s="220">
        <v>0.518</v>
      </c>
      <c r="K18" s="220"/>
      <c r="L18" s="221"/>
      <c r="M18" s="222" t="s">
        <v>69</v>
      </c>
      <c r="N18" s="199"/>
      <c r="O18" s="199"/>
      <c r="P18" s="218"/>
      <c r="Q18" s="199">
        <v>0.705</v>
      </c>
      <c r="R18" s="199"/>
      <c r="S18" s="199"/>
      <c r="T18" s="12" t="s">
        <v>60</v>
      </c>
      <c r="U18" s="199">
        <v>0.705</v>
      </c>
      <c r="V18" s="199"/>
      <c r="W18" s="200"/>
      <c r="X18" s="9"/>
      <c r="Y18" s="201" t="s">
        <v>70</v>
      </c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3">
        <v>0</v>
      </c>
      <c r="AM18" s="204"/>
      <c r="AN18" s="204"/>
      <c r="AO18" s="204"/>
      <c r="AP18" s="205"/>
      <c r="AQ18" s="206" t="s">
        <v>46</v>
      </c>
      <c r="AR18" s="207"/>
      <c r="AS18" s="203">
        <v>0</v>
      </c>
      <c r="AT18" s="204"/>
      <c r="AU18" s="204"/>
      <c r="AV18" s="204"/>
      <c r="AW18" s="205"/>
      <c r="AX18" s="206" t="s">
        <v>46</v>
      </c>
      <c r="AY18" s="207"/>
      <c r="AZ18" s="208"/>
      <c r="BA18" s="208"/>
      <c r="BB18" s="208"/>
      <c r="BC18" s="208"/>
      <c r="BD18" s="209"/>
    </row>
    <row r="19" spans="2:56" ht="18.75" customHeight="1" thickBot="1" thickTop="1">
      <c r="B19" s="1"/>
      <c r="C19" s="1" t="s">
        <v>120</v>
      </c>
      <c r="D19" s="1" t="s">
        <v>121</v>
      </c>
      <c r="E19" s="1"/>
      <c r="F19" s="1"/>
      <c r="G19" s="8"/>
      <c r="H19" s="8"/>
      <c r="I19" s="8"/>
      <c r="J19" s="8"/>
      <c r="K19" s="8"/>
      <c r="L19" s="8"/>
      <c r="M19" s="1"/>
      <c r="N19" s="1"/>
      <c r="O19" s="1"/>
      <c r="P19" s="1"/>
      <c r="Q19" s="1"/>
      <c r="R19" s="7"/>
      <c r="S19" s="7"/>
      <c r="T19" s="7"/>
      <c r="U19" s="7"/>
      <c r="V19" s="7"/>
      <c r="W19" s="7"/>
      <c r="X19" s="13"/>
      <c r="Y19" s="13"/>
      <c r="Z19" s="13" t="s">
        <v>104</v>
      </c>
      <c r="AA19" s="13"/>
      <c r="AB19" s="13" t="s">
        <v>105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2:56" ht="18.75" customHeight="1" thickTop="1">
      <c r="B20" s="162" t="s">
        <v>71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4"/>
    </row>
    <row r="21" spans="2:56" ht="18.75" customHeight="1">
      <c r="B21" s="14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  <c r="Q21" s="132">
        <v>1</v>
      </c>
      <c r="R21" s="101"/>
      <c r="S21" s="101"/>
      <c r="T21" s="101"/>
      <c r="U21" s="101">
        <v>2</v>
      </c>
      <c r="V21" s="101"/>
      <c r="W21" s="101"/>
      <c r="X21" s="101"/>
      <c r="Y21" s="101">
        <v>3</v>
      </c>
      <c r="Z21" s="101"/>
      <c r="AA21" s="101"/>
      <c r="AB21" s="101"/>
      <c r="AC21" s="101">
        <v>4</v>
      </c>
      <c r="AD21" s="101"/>
      <c r="AE21" s="101"/>
      <c r="AF21" s="101"/>
      <c r="AG21" s="101">
        <v>5</v>
      </c>
      <c r="AH21" s="101"/>
      <c r="AI21" s="101"/>
      <c r="AJ21" s="101"/>
      <c r="AK21" s="101">
        <v>6</v>
      </c>
      <c r="AL21" s="101"/>
      <c r="AM21" s="101"/>
      <c r="AN21" s="101"/>
      <c r="AO21" s="101">
        <v>7</v>
      </c>
      <c r="AP21" s="101"/>
      <c r="AQ21" s="101"/>
      <c r="AR21" s="101"/>
      <c r="AS21" s="101">
        <v>8</v>
      </c>
      <c r="AT21" s="101"/>
      <c r="AU21" s="101"/>
      <c r="AV21" s="101"/>
      <c r="AW21" s="101">
        <v>9</v>
      </c>
      <c r="AX21" s="101"/>
      <c r="AY21" s="101"/>
      <c r="AZ21" s="101"/>
      <c r="BA21" s="101">
        <v>10</v>
      </c>
      <c r="BB21" s="101"/>
      <c r="BC21" s="101"/>
      <c r="BD21" s="152"/>
    </row>
    <row r="22" spans="2:56" ht="18.75" customHeight="1">
      <c r="B22" s="142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1"/>
      <c r="Q22" s="197">
        <v>2019</v>
      </c>
      <c r="R22" s="198"/>
      <c r="S22" s="198"/>
      <c r="T22" s="122"/>
      <c r="U22" s="95">
        <f>Q22+1</f>
        <v>2020</v>
      </c>
      <c r="V22" s="95"/>
      <c r="W22" s="95"/>
      <c r="X22" s="95"/>
      <c r="Y22" s="95">
        <f>U22+1</f>
        <v>2021</v>
      </c>
      <c r="Z22" s="95"/>
      <c r="AA22" s="95"/>
      <c r="AB22" s="95"/>
      <c r="AC22" s="95">
        <f>Y22+1</f>
        <v>2022</v>
      </c>
      <c r="AD22" s="95"/>
      <c r="AE22" s="95"/>
      <c r="AF22" s="95"/>
      <c r="AG22" s="95">
        <f>AC22+1</f>
        <v>2023</v>
      </c>
      <c r="AH22" s="95"/>
      <c r="AI22" s="95"/>
      <c r="AJ22" s="95"/>
      <c r="AK22" s="95">
        <f>AG22+1</f>
        <v>2024</v>
      </c>
      <c r="AL22" s="95"/>
      <c r="AM22" s="95"/>
      <c r="AN22" s="95"/>
      <c r="AO22" s="95">
        <f>AK22+1</f>
        <v>2025</v>
      </c>
      <c r="AP22" s="95"/>
      <c r="AQ22" s="95"/>
      <c r="AR22" s="95"/>
      <c r="AS22" s="95">
        <f>AO22+1</f>
        <v>2026</v>
      </c>
      <c r="AT22" s="95"/>
      <c r="AU22" s="95"/>
      <c r="AV22" s="95"/>
      <c r="AW22" s="95">
        <f>AS22+1</f>
        <v>2027</v>
      </c>
      <c r="AX22" s="95"/>
      <c r="AY22" s="95"/>
      <c r="AZ22" s="95"/>
      <c r="BA22" s="95">
        <f>AW22+1</f>
        <v>2028</v>
      </c>
      <c r="BB22" s="95"/>
      <c r="BC22" s="95"/>
      <c r="BD22" s="148"/>
    </row>
    <row r="23" spans="2:56" ht="7.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7"/>
      <c r="BD23" s="18"/>
    </row>
    <row r="24" spans="2:56" ht="18.75" customHeight="1">
      <c r="B24" s="188" t="str">
        <f>AL7</f>
        <v>400Wクラス</v>
      </c>
      <c r="C24" s="189"/>
      <c r="D24" s="190"/>
      <c r="E24" s="158" t="s">
        <v>72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69">
        <f>$AL$14</f>
        <v>923640.6</v>
      </c>
      <c r="R24" s="170"/>
      <c r="S24" s="170"/>
      <c r="T24" s="170"/>
      <c r="U24" s="169">
        <f>$AL$14</f>
        <v>923640.6</v>
      </c>
      <c r="V24" s="170"/>
      <c r="W24" s="170"/>
      <c r="X24" s="170"/>
      <c r="Y24" s="170">
        <f>$AL$14</f>
        <v>923640.6</v>
      </c>
      <c r="Z24" s="170"/>
      <c r="AA24" s="170"/>
      <c r="AB24" s="170"/>
      <c r="AC24" s="170">
        <f>$AL$14</f>
        <v>923640.6</v>
      </c>
      <c r="AD24" s="170"/>
      <c r="AE24" s="170"/>
      <c r="AF24" s="170"/>
      <c r="AG24" s="170">
        <f>$AL$14</f>
        <v>923640.6</v>
      </c>
      <c r="AH24" s="170"/>
      <c r="AI24" s="170"/>
      <c r="AJ24" s="170"/>
      <c r="AK24" s="170">
        <f>$AL$14</f>
        <v>923640.6</v>
      </c>
      <c r="AL24" s="170"/>
      <c r="AM24" s="170"/>
      <c r="AN24" s="170"/>
      <c r="AO24" s="170">
        <f>$AL$14</f>
        <v>923640.6</v>
      </c>
      <c r="AP24" s="170"/>
      <c r="AQ24" s="170"/>
      <c r="AR24" s="170"/>
      <c r="AS24" s="170">
        <f>$AL$14</f>
        <v>923640.6</v>
      </c>
      <c r="AT24" s="170"/>
      <c r="AU24" s="170"/>
      <c r="AV24" s="170"/>
      <c r="AW24" s="170">
        <f>$AL$14</f>
        <v>923640.6</v>
      </c>
      <c r="AX24" s="170"/>
      <c r="AY24" s="170"/>
      <c r="AZ24" s="170"/>
      <c r="BA24" s="170">
        <f>$AL$14</f>
        <v>923640.6</v>
      </c>
      <c r="BB24" s="170"/>
      <c r="BC24" s="170"/>
      <c r="BD24" s="171"/>
    </row>
    <row r="25" spans="2:56" ht="18.75" customHeight="1">
      <c r="B25" s="191"/>
      <c r="C25" s="192"/>
      <c r="D25" s="193"/>
      <c r="E25" s="158" t="s">
        <v>73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180">
        <f>$AL$10*$AL$11*12*Q21</f>
        <v>2760</v>
      </c>
      <c r="R25" s="177"/>
      <c r="S25" s="177"/>
      <c r="T25" s="177"/>
      <c r="U25" s="177">
        <f>$AL$10*$AL$11*12*U21</f>
        <v>5520</v>
      </c>
      <c r="V25" s="177"/>
      <c r="W25" s="177"/>
      <c r="X25" s="177"/>
      <c r="Y25" s="177">
        <f>$AL$10*$AL$11*12*Y21</f>
        <v>8280</v>
      </c>
      <c r="Z25" s="177"/>
      <c r="AA25" s="177"/>
      <c r="AB25" s="177"/>
      <c r="AC25" s="177">
        <f>$AL$10*$AL$11*12*AC21</f>
        <v>11040</v>
      </c>
      <c r="AD25" s="177"/>
      <c r="AE25" s="177"/>
      <c r="AF25" s="177"/>
      <c r="AG25" s="177">
        <f>$AL$10*$AL$11*12*AG21</f>
        <v>13800</v>
      </c>
      <c r="AH25" s="177"/>
      <c r="AI25" s="177"/>
      <c r="AJ25" s="177"/>
      <c r="AK25" s="177">
        <f>$AL$10*$AL$11*12*AK21</f>
        <v>16560</v>
      </c>
      <c r="AL25" s="177"/>
      <c r="AM25" s="177"/>
      <c r="AN25" s="177"/>
      <c r="AO25" s="177">
        <f>$AL$10*$AL$11*12*AO21</f>
        <v>19320</v>
      </c>
      <c r="AP25" s="177"/>
      <c r="AQ25" s="177"/>
      <c r="AR25" s="177"/>
      <c r="AS25" s="177">
        <f>$AL$10*$AL$11*12*AS21</f>
        <v>22080</v>
      </c>
      <c r="AT25" s="177"/>
      <c r="AU25" s="177"/>
      <c r="AV25" s="177"/>
      <c r="AW25" s="177">
        <f>$AL$10*$AL$11*12*AW21</f>
        <v>24840</v>
      </c>
      <c r="AX25" s="177"/>
      <c r="AY25" s="177"/>
      <c r="AZ25" s="177"/>
      <c r="BA25" s="177">
        <f>$AL$10*$AL$11*12*BA21</f>
        <v>27600</v>
      </c>
      <c r="BB25" s="177"/>
      <c r="BC25" s="177"/>
      <c r="BD25" s="181"/>
    </row>
    <row r="26" spans="2:56" ht="18.75" customHeight="1">
      <c r="B26" s="191"/>
      <c r="C26" s="192"/>
      <c r="D26" s="193"/>
      <c r="E26" s="158" t="s">
        <v>74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  <c r="Q26" s="187">
        <f>ROUNDDOWN(Q25/$AL$17,0)</f>
        <v>0</v>
      </c>
      <c r="R26" s="172"/>
      <c r="S26" s="172"/>
      <c r="T26" s="172"/>
      <c r="U26" s="172">
        <f>ROUNDDOWN((U25/$AL$17)-Q26,0)</f>
        <v>0</v>
      </c>
      <c r="V26" s="172"/>
      <c r="W26" s="172"/>
      <c r="X26" s="172"/>
      <c r="Y26" s="172">
        <f>ROUNDDOWN((Y25/$AL$17)-Q26-U26,0)</f>
        <v>0</v>
      </c>
      <c r="Z26" s="172"/>
      <c r="AA26" s="172"/>
      <c r="AB26" s="172"/>
      <c r="AC26" s="172">
        <f>ROUNDDOWN((AC25/$AL$17)-Q26-U26-Y26,0)</f>
        <v>0</v>
      </c>
      <c r="AD26" s="172"/>
      <c r="AE26" s="172"/>
      <c r="AF26" s="172"/>
      <c r="AG26" s="183">
        <f>ROUNDDOWN((AG25/$AL$17)-Q26-U26-Y26-AC26,0)</f>
        <v>1</v>
      </c>
      <c r="AH26" s="183"/>
      <c r="AI26" s="183"/>
      <c r="AJ26" s="183"/>
      <c r="AK26" s="186">
        <f>ROUNDDOWN((AK25/$AL$17)-Q26-U26-Y26-AC26-AG26,0)</f>
        <v>0</v>
      </c>
      <c r="AL26" s="186"/>
      <c r="AM26" s="186"/>
      <c r="AN26" s="186"/>
      <c r="AO26" s="186">
        <f>ROUNDDOWN((AO25/$AL$17)-Q26-U26-Y26-AC26-AG26-AK26,0)</f>
        <v>0</v>
      </c>
      <c r="AP26" s="186"/>
      <c r="AQ26" s="186"/>
      <c r="AR26" s="186"/>
      <c r="AS26" s="172">
        <f>ROUNDDOWN((AS25/$AL$17)-Q26-U26-Y26-AC26-AG26-AK26-AO26,0)</f>
        <v>0</v>
      </c>
      <c r="AT26" s="172"/>
      <c r="AU26" s="172"/>
      <c r="AV26" s="172"/>
      <c r="AW26" s="183">
        <f>ROUNDDOWN((AW25/$AL$17)-Q26-U26-Y26-AC26-AG26-AK26-AO26-AS26,0)</f>
        <v>1</v>
      </c>
      <c r="AX26" s="183"/>
      <c r="AY26" s="183"/>
      <c r="AZ26" s="183"/>
      <c r="BA26" s="172">
        <f>ROUNDDOWN((BA25/$AL$17)-Q26-U26-Y26-AC26-AG26-AK26-AO26-AS26-AW26,0)</f>
        <v>0</v>
      </c>
      <c r="BB26" s="172"/>
      <c r="BC26" s="172"/>
      <c r="BD26" s="176"/>
    </row>
    <row r="27" spans="2:56" ht="18.75" customHeight="1">
      <c r="B27" s="191"/>
      <c r="C27" s="192"/>
      <c r="D27" s="193"/>
      <c r="E27" s="158" t="s">
        <v>75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0"/>
      <c r="Q27" s="169">
        <f>(($AL$15+$AL$16)*$AL$8+$AL$18)*Q$26</f>
        <v>0</v>
      </c>
      <c r="R27" s="170"/>
      <c r="S27" s="170"/>
      <c r="T27" s="170"/>
      <c r="U27" s="169">
        <f>($AL$15+$AL$16)*$AL$8*U$26</f>
        <v>0</v>
      </c>
      <c r="V27" s="170"/>
      <c r="W27" s="170"/>
      <c r="X27" s="170"/>
      <c r="Y27" s="169">
        <f>($AL$15+$AL$16)*$AL$8*Y$26</f>
        <v>0</v>
      </c>
      <c r="Z27" s="170"/>
      <c r="AA27" s="170"/>
      <c r="AB27" s="170"/>
      <c r="AC27" s="169">
        <f>($AL$15+$AL$16)*$AL$8*AC$26</f>
        <v>0</v>
      </c>
      <c r="AD27" s="170"/>
      <c r="AE27" s="170"/>
      <c r="AF27" s="170"/>
      <c r="AG27" s="169">
        <f>($AL$15+$AL$16)*$AL$8*AG$26</f>
        <v>260000</v>
      </c>
      <c r="AH27" s="170"/>
      <c r="AI27" s="170"/>
      <c r="AJ27" s="170"/>
      <c r="AK27" s="169">
        <f>($AL$15+$AL$16)*$AL$8*AK$26</f>
        <v>0</v>
      </c>
      <c r="AL27" s="170"/>
      <c r="AM27" s="170"/>
      <c r="AN27" s="170"/>
      <c r="AO27" s="169">
        <f>($AL$15+$AL$16)*$AL$8*AO$26</f>
        <v>0</v>
      </c>
      <c r="AP27" s="170"/>
      <c r="AQ27" s="170"/>
      <c r="AR27" s="170"/>
      <c r="AS27" s="169">
        <f>($AL$15+$AL$16)*$AL$8*AS$26</f>
        <v>0</v>
      </c>
      <c r="AT27" s="170"/>
      <c r="AU27" s="170"/>
      <c r="AV27" s="170"/>
      <c r="AW27" s="169">
        <f>($AL$15+$AL$16)*$AL$8*AW$26</f>
        <v>260000</v>
      </c>
      <c r="AX27" s="170"/>
      <c r="AY27" s="170"/>
      <c r="AZ27" s="170"/>
      <c r="BA27" s="169">
        <f>($AL$15+$AL$16)*$AL$8*BA$26</f>
        <v>0</v>
      </c>
      <c r="BB27" s="170"/>
      <c r="BC27" s="170"/>
      <c r="BD27" s="171"/>
    </row>
    <row r="28" spans="2:56" ht="18.75" customHeight="1">
      <c r="B28" s="191"/>
      <c r="C28" s="192"/>
      <c r="D28" s="193"/>
      <c r="E28" s="185" t="s">
        <v>76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178">
        <f>Q24+Q27</f>
        <v>923640.6</v>
      </c>
      <c r="R28" s="179"/>
      <c r="S28" s="179"/>
      <c r="T28" s="179"/>
      <c r="U28" s="178">
        <f>U24+U27</f>
        <v>923640.6</v>
      </c>
      <c r="V28" s="179"/>
      <c r="W28" s="179"/>
      <c r="X28" s="179"/>
      <c r="Y28" s="178">
        <f>Y24+Y27</f>
        <v>923640.6</v>
      </c>
      <c r="Z28" s="179"/>
      <c r="AA28" s="179"/>
      <c r="AB28" s="179"/>
      <c r="AC28" s="178">
        <f>AC24+AC27</f>
        <v>923640.6</v>
      </c>
      <c r="AD28" s="179"/>
      <c r="AE28" s="179"/>
      <c r="AF28" s="179"/>
      <c r="AG28" s="178">
        <f>AG24+AG27</f>
        <v>1183640.6</v>
      </c>
      <c r="AH28" s="179"/>
      <c r="AI28" s="179"/>
      <c r="AJ28" s="179"/>
      <c r="AK28" s="178">
        <f>AK24+AK27</f>
        <v>923640.6</v>
      </c>
      <c r="AL28" s="179"/>
      <c r="AM28" s="179"/>
      <c r="AN28" s="179"/>
      <c r="AO28" s="178">
        <f>AO24+AO27</f>
        <v>923640.6</v>
      </c>
      <c r="AP28" s="179"/>
      <c r="AQ28" s="179"/>
      <c r="AR28" s="179"/>
      <c r="AS28" s="178">
        <f>AS24+AS27</f>
        <v>923640.6</v>
      </c>
      <c r="AT28" s="179"/>
      <c r="AU28" s="179"/>
      <c r="AV28" s="179"/>
      <c r="AW28" s="178">
        <f>AW24+AW27</f>
        <v>1183640.6</v>
      </c>
      <c r="AX28" s="179"/>
      <c r="AY28" s="179"/>
      <c r="AZ28" s="179"/>
      <c r="BA28" s="178">
        <f>BA24+BA27</f>
        <v>923640.6</v>
      </c>
      <c r="BB28" s="179"/>
      <c r="BC28" s="179"/>
      <c r="BD28" s="184"/>
    </row>
    <row r="29" spans="2:56" ht="18.75" customHeight="1">
      <c r="B29" s="194"/>
      <c r="C29" s="195"/>
      <c r="D29" s="196"/>
      <c r="E29" s="185" t="s">
        <v>77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78">
        <f>Q28</f>
        <v>923640.6</v>
      </c>
      <c r="R29" s="179"/>
      <c r="S29" s="179"/>
      <c r="T29" s="179"/>
      <c r="U29" s="179">
        <f>Q29+U28</f>
        <v>1847281.2</v>
      </c>
      <c r="V29" s="179"/>
      <c r="W29" s="179"/>
      <c r="X29" s="179"/>
      <c r="Y29" s="179">
        <f>U29+Y28</f>
        <v>2770921.8</v>
      </c>
      <c r="Z29" s="179"/>
      <c r="AA29" s="179"/>
      <c r="AB29" s="179"/>
      <c r="AC29" s="179">
        <f>Y29+AC28</f>
        <v>3694562.4</v>
      </c>
      <c r="AD29" s="179"/>
      <c r="AE29" s="179"/>
      <c r="AF29" s="179"/>
      <c r="AG29" s="179">
        <f>AC29+AG28</f>
        <v>4878203</v>
      </c>
      <c r="AH29" s="179"/>
      <c r="AI29" s="179"/>
      <c r="AJ29" s="179"/>
      <c r="AK29" s="179">
        <f>AG29+AK28</f>
        <v>5801843.6</v>
      </c>
      <c r="AL29" s="179"/>
      <c r="AM29" s="179"/>
      <c r="AN29" s="179"/>
      <c r="AO29" s="179">
        <f>AK29+AO28</f>
        <v>6725484.199999999</v>
      </c>
      <c r="AP29" s="179"/>
      <c r="AQ29" s="179"/>
      <c r="AR29" s="179"/>
      <c r="AS29" s="179">
        <f>AO29+AS28</f>
        <v>7649124.799999999</v>
      </c>
      <c r="AT29" s="179"/>
      <c r="AU29" s="179"/>
      <c r="AV29" s="179"/>
      <c r="AW29" s="179">
        <f>AS29+AW28</f>
        <v>8832765.399999999</v>
      </c>
      <c r="AX29" s="179"/>
      <c r="AY29" s="179"/>
      <c r="AZ29" s="179"/>
      <c r="BA29" s="179">
        <f>AW29+BA28</f>
        <v>9756405.999999998</v>
      </c>
      <c r="BB29" s="179"/>
      <c r="BC29" s="179"/>
      <c r="BD29" s="184"/>
    </row>
    <row r="30" spans="2:56" ht="7.5" customHeight="1"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4"/>
    </row>
    <row r="31" spans="2:56" ht="18.75" customHeight="1">
      <c r="B31" s="437" t="str">
        <f>AS7</f>
        <v>HK-1Plus</v>
      </c>
      <c r="C31" s="438"/>
      <c r="D31" s="439"/>
      <c r="E31" s="158" t="s">
        <v>72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  <c r="Q31" s="169">
        <f>$AS$14</f>
        <v>155794.8</v>
      </c>
      <c r="R31" s="170"/>
      <c r="S31" s="170"/>
      <c r="T31" s="170"/>
      <c r="U31" s="170">
        <f>$AS$14</f>
        <v>155794.8</v>
      </c>
      <c r="V31" s="170"/>
      <c r="W31" s="170"/>
      <c r="X31" s="170"/>
      <c r="Y31" s="173">
        <f>$AS$14</f>
        <v>155794.8</v>
      </c>
      <c r="Z31" s="174"/>
      <c r="AA31" s="174"/>
      <c r="AB31" s="169"/>
      <c r="AC31" s="173">
        <f>$AS$14</f>
        <v>155794.8</v>
      </c>
      <c r="AD31" s="174"/>
      <c r="AE31" s="174"/>
      <c r="AF31" s="169"/>
      <c r="AG31" s="173">
        <f>$AS$14</f>
        <v>155794.8</v>
      </c>
      <c r="AH31" s="174"/>
      <c r="AI31" s="174"/>
      <c r="AJ31" s="169"/>
      <c r="AK31" s="173">
        <f>$AS$14</f>
        <v>155794.8</v>
      </c>
      <c r="AL31" s="174"/>
      <c r="AM31" s="174"/>
      <c r="AN31" s="169"/>
      <c r="AO31" s="173">
        <f>$AS$14</f>
        <v>155794.8</v>
      </c>
      <c r="AP31" s="174"/>
      <c r="AQ31" s="174"/>
      <c r="AR31" s="169"/>
      <c r="AS31" s="173">
        <f>$AS$14</f>
        <v>155794.8</v>
      </c>
      <c r="AT31" s="174"/>
      <c r="AU31" s="174"/>
      <c r="AV31" s="169"/>
      <c r="AW31" s="173">
        <f>$AS$14</f>
        <v>155794.8</v>
      </c>
      <c r="AX31" s="174"/>
      <c r="AY31" s="174"/>
      <c r="AZ31" s="169"/>
      <c r="BA31" s="173">
        <f>$AS$14</f>
        <v>155794.8</v>
      </c>
      <c r="BB31" s="174"/>
      <c r="BC31" s="174"/>
      <c r="BD31" s="175"/>
    </row>
    <row r="32" spans="2:56" ht="18.75" customHeight="1">
      <c r="B32" s="440"/>
      <c r="C32" s="441"/>
      <c r="D32" s="442"/>
      <c r="E32" s="158" t="s">
        <v>73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0"/>
      <c r="Q32" s="180">
        <f>$AS$10*$AS$11*12*Q21</f>
        <v>2760</v>
      </c>
      <c r="R32" s="177"/>
      <c r="S32" s="177"/>
      <c r="T32" s="177"/>
      <c r="U32" s="177">
        <f>$AS$10*$AS$11*12*U21</f>
        <v>5520</v>
      </c>
      <c r="V32" s="177"/>
      <c r="W32" s="177"/>
      <c r="X32" s="177"/>
      <c r="Y32" s="177">
        <f>$AS$10*$AS$11*12*Y21</f>
        <v>8280</v>
      </c>
      <c r="Z32" s="177"/>
      <c r="AA32" s="177"/>
      <c r="AB32" s="177"/>
      <c r="AC32" s="177">
        <f>$AS$10*$AS$11*12*AC21</f>
        <v>11040</v>
      </c>
      <c r="AD32" s="177"/>
      <c r="AE32" s="177"/>
      <c r="AF32" s="177"/>
      <c r="AG32" s="177">
        <f>$AS$10*$AS$11*12*AG21</f>
        <v>13800</v>
      </c>
      <c r="AH32" s="177"/>
      <c r="AI32" s="177"/>
      <c r="AJ32" s="177"/>
      <c r="AK32" s="177">
        <f>$AS$10*$AS$11*12*AK21</f>
        <v>16560</v>
      </c>
      <c r="AL32" s="177"/>
      <c r="AM32" s="177"/>
      <c r="AN32" s="177"/>
      <c r="AO32" s="177">
        <f>$AS$10*$AS$11*12*AO21</f>
        <v>19320</v>
      </c>
      <c r="AP32" s="177"/>
      <c r="AQ32" s="177"/>
      <c r="AR32" s="177"/>
      <c r="AS32" s="177">
        <f>$AS$10*$AS$11*12*AS21</f>
        <v>22080</v>
      </c>
      <c r="AT32" s="177"/>
      <c r="AU32" s="177"/>
      <c r="AV32" s="177"/>
      <c r="AW32" s="177">
        <f>$AS$10*$AS$11*12*AW21</f>
        <v>24840</v>
      </c>
      <c r="AX32" s="177"/>
      <c r="AY32" s="177"/>
      <c r="AZ32" s="177"/>
      <c r="BA32" s="177">
        <f>$AS$10*$AS$11*12*BA21</f>
        <v>27600</v>
      </c>
      <c r="BB32" s="177"/>
      <c r="BC32" s="177"/>
      <c r="BD32" s="181"/>
    </row>
    <row r="33" spans="2:56" ht="18.75" customHeight="1">
      <c r="B33" s="440"/>
      <c r="C33" s="441"/>
      <c r="D33" s="442"/>
      <c r="E33" s="158" t="s">
        <v>74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60"/>
      <c r="Q33" s="182">
        <v>1</v>
      </c>
      <c r="R33" s="183"/>
      <c r="S33" s="183"/>
      <c r="T33" s="183"/>
      <c r="U33" s="172">
        <f>ROUNDDOWN((U32/$AS$17),0)</f>
        <v>0</v>
      </c>
      <c r="V33" s="172"/>
      <c r="W33" s="172"/>
      <c r="X33" s="172"/>
      <c r="Y33" s="172">
        <f>ROUNDDOWN((Y32/$AS$17)-U33,0)</f>
        <v>0</v>
      </c>
      <c r="Z33" s="172"/>
      <c r="AA33" s="172"/>
      <c r="AB33" s="172"/>
      <c r="AC33" s="172">
        <f>ROUNDDOWN((AC32/$AS$17)-U33-Y33,0)</f>
        <v>0</v>
      </c>
      <c r="AD33" s="172"/>
      <c r="AE33" s="172"/>
      <c r="AF33" s="172"/>
      <c r="AG33" s="172">
        <f>ROUNDDOWN((AG32/$AS$17)-U33-Y33-AC33,0)</f>
        <v>0</v>
      </c>
      <c r="AH33" s="172"/>
      <c r="AI33" s="172"/>
      <c r="AJ33" s="172"/>
      <c r="AK33" s="172">
        <f>ROUNDDOWN((AK32/$AS$17)-U33-Y33-AC33-AG33,0)</f>
        <v>0</v>
      </c>
      <c r="AL33" s="172"/>
      <c r="AM33" s="172"/>
      <c r="AN33" s="172"/>
      <c r="AO33" s="172">
        <f>ROUNDDOWN((AO32/$AS$17)-U33-Y33-AC33-AG33-AK33,0)</f>
        <v>0</v>
      </c>
      <c r="AP33" s="172"/>
      <c r="AQ33" s="172"/>
      <c r="AR33" s="172"/>
      <c r="AS33" s="172">
        <f>ROUNDDOWN((AS32/$AS$17)-U33-Y33-AC33-AG33-AK33-AO33,0)</f>
        <v>0</v>
      </c>
      <c r="AT33" s="172"/>
      <c r="AU33" s="172"/>
      <c r="AV33" s="172"/>
      <c r="AW33" s="172">
        <f>ROUNDDOWN((AW32/$AS$17)-U33-Y33-AC33-AG33-AK33-AO33-AS33,0)</f>
        <v>0</v>
      </c>
      <c r="AX33" s="172"/>
      <c r="AY33" s="172"/>
      <c r="AZ33" s="172"/>
      <c r="BA33" s="172">
        <f>ROUNDDOWN((BA32/$AS$17)-U33-Y33-AC33-AG33-AK33-AO33-AS33-AW33,0)</f>
        <v>0</v>
      </c>
      <c r="BB33" s="172"/>
      <c r="BC33" s="172"/>
      <c r="BD33" s="176"/>
    </row>
    <row r="34" spans="2:56" ht="18.75" customHeight="1">
      <c r="B34" s="440"/>
      <c r="C34" s="441"/>
      <c r="D34" s="442"/>
      <c r="E34" s="158" t="s">
        <v>78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60"/>
      <c r="Q34" s="169">
        <f>(($AS$15+$AS$16)*$AS$8+$AS$18)*Q$33</f>
        <v>2800000</v>
      </c>
      <c r="R34" s="170"/>
      <c r="S34" s="170"/>
      <c r="T34" s="170"/>
      <c r="U34" s="169">
        <f>($AS$15+$AS$16)*$AS$8*U$33</f>
        <v>0</v>
      </c>
      <c r="V34" s="170"/>
      <c r="W34" s="170"/>
      <c r="X34" s="170"/>
      <c r="Y34" s="169">
        <f>($AS$15+$AS$16)*$AS$8*Y$33</f>
        <v>0</v>
      </c>
      <c r="Z34" s="170"/>
      <c r="AA34" s="170"/>
      <c r="AB34" s="170"/>
      <c r="AC34" s="169">
        <f>($AS$15+$AS$16)*$AS$8*AC$33</f>
        <v>0</v>
      </c>
      <c r="AD34" s="170"/>
      <c r="AE34" s="170"/>
      <c r="AF34" s="170"/>
      <c r="AG34" s="169">
        <f>($AS$15+$AS$16)*$AS$8*AG$33</f>
        <v>0</v>
      </c>
      <c r="AH34" s="170"/>
      <c r="AI34" s="170"/>
      <c r="AJ34" s="170"/>
      <c r="AK34" s="169">
        <f>($AS$15+$AS$16)*$AS$8*AK$33</f>
        <v>0</v>
      </c>
      <c r="AL34" s="170"/>
      <c r="AM34" s="170"/>
      <c r="AN34" s="170"/>
      <c r="AO34" s="169">
        <f>($AS$15+$AS$16)*$AS$8*AO$33</f>
        <v>0</v>
      </c>
      <c r="AP34" s="170"/>
      <c r="AQ34" s="170"/>
      <c r="AR34" s="170"/>
      <c r="AS34" s="169">
        <f>($AS$15+$AS$16)*$AS$8*AS$33</f>
        <v>0</v>
      </c>
      <c r="AT34" s="170"/>
      <c r="AU34" s="170"/>
      <c r="AV34" s="170"/>
      <c r="AW34" s="169">
        <f>($AS$15+$AS$16)*$AS$8*AW$33</f>
        <v>0</v>
      </c>
      <c r="AX34" s="170"/>
      <c r="AY34" s="170"/>
      <c r="AZ34" s="170"/>
      <c r="BA34" s="169">
        <f>($AS$15+$AS$16)*$AS$8*BA$33</f>
        <v>0</v>
      </c>
      <c r="BB34" s="170"/>
      <c r="BC34" s="170"/>
      <c r="BD34" s="171"/>
    </row>
    <row r="35" spans="2:56" ht="18.75" customHeight="1">
      <c r="B35" s="440"/>
      <c r="C35" s="441"/>
      <c r="D35" s="442"/>
      <c r="E35" s="157" t="s">
        <v>76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153">
        <f>Q31+Q34</f>
        <v>2955794.8</v>
      </c>
      <c r="R35" s="154"/>
      <c r="S35" s="154"/>
      <c r="T35" s="154"/>
      <c r="U35" s="153">
        <f>U31+U34</f>
        <v>155794.8</v>
      </c>
      <c r="V35" s="154"/>
      <c r="W35" s="154"/>
      <c r="X35" s="154"/>
      <c r="Y35" s="153">
        <f>Y31+Y34</f>
        <v>155794.8</v>
      </c>
      <c r="Z35" s="154"/>
      <c r="AA35" s="154"/>
      <c r="AB35" s="154"/>
      <c r="AC35" s="153">
        <f>AC31+AC34</f>
        <v>155794.8</v>
      </c>
      <c r="AD35" s="154"/>
      <c r="AE35" s="154"/>
      <c r="AF35" s="154"/>
      <c r="AG35" s="153">
        <f>AG31+AG34</f>
        <v>155794.8</v>
      </c>
      <c r="AH35" s="154"/>
      <c r="AI35" s="154"/>
      <c r="AJ35" s="154"/>
      <c r="AK35" s="153">
        <f>AK31+AK34</f>
        <v>155794.8</v>
      </c>
      <c r="AL35" s="154"/>
      <c r="AM35" s="154"/>
      <c r="AN35" s="154"/>
      <c r="AO35" s="153">
        <f>AO31+AO34</f>
        <v>155794.8</v>
      </c>
      <c r="AP35" s="154"/>
      <c r="AQ35" s="154"/>
      <c r="AR35" s="154"/>
      <c r="AS35" s="153">
        <f>AS31+AS34</f>
        <v>155794.8</v>
      </c>
      <c r="AT35" s="154"/>
      <c r="AU35" s="154"/>
      <c r="AV35" s="154"/>
      <c r="AW35" s="153">
        <f>AW31+AW34</f>
        <v>155794.8</v>
      </c>
      <c r="AX35" s="154"/>
      <c r="AY35" s="154"/>
      <c r="AZ35" s="154"/>
      <c r="BA35" s="154">
        <f>BA31+BA34</f>
        <v>155794.8</v>
      </c>
      <c r="BB35" s="154"/>
      <c r="BC35" s="154"/>
      <c r="BD35" s="165"/>
    </row>
    <row r="36" spans="2:56" ht="18.75" customHeight="1" thickBot="1">
      <c r="B36" s="443"/>
      <c r="C36" s="444"/>
      <c r="D36" s="445"/>
      <c r="E36" s="166" t="s">
        <v>77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/>
      <c r="Q36" s="156">
        <f>Q35</f>
        <v>2955794.8</v>
      </c>
      <c r="R36" s="155"/>
      <c r="S36" s="155"/>
      <c r="T36" s="155"/>
      <c r="U36" s="155">
        <f>Q36+U35</f>
        <v>3111589.5999999996</v>
      </c>
      <c r="V36" s="155"/>
      <c r="W36" s="155"/>
      <c r="X36" s="155"/>
      <c r="Y36" s="155">
        <f>U36+Y35</f>
        <v>3267384.3999999994</v>
      </c>
      <c r="Z36" s="155"/>
      <c r="AA36" s="155"/>
      <c r="AB36" s="155"/>
      <c r="AC36" s="155">
        <f>Y36+AC35</f>
        <v>3423179.1999999993</v>
      </c>
      <c r="AD36" s="155"/>
      <c r="AE36" s="155"/>
      <c r="AF36" s="155"/>
      <c r="AG36" s="155">
        <f>AC36+AG35</f>
        <v>3578973.999999999</v>
      </c>
      <c r="AH36" s="155"/>
      <c r="AI36" s="155"/>
      <c r="AJ36" s="155"/>
      <c r="AK36" s="155">
        <f>AG36+AK35</f>
        <v>3734768.799999999</v>
      </c>
      <c r="AL36" s="155"/>
      <c r="AM36" s="155"/>
      <c r="AN36" s="155"/>
      <c r="AO36" s="155">
        <f>AK36+AO35</f>
        <v>3890563.5999999987</v>
      </c>
      <c r="AP36" s="155"/>
      <c r="AQ36" s="155"/>
      <c r="AR36" s="155"/>
      <c r="AS36" s="155">
        <f>AO36+AS35</f>
        <v>4046358.3999999985</v>
      </c>
      <c r="AT36" s="155"/>
      <c r="AU36" s="155"/>
      <c r="AV36" s="155"/>
      <c r="AW36" s="155">
        <f>AS36+AW35</f>
        <v>4202153.199999998</v>
      </c>
      <c r="AX36" s="155"/>
      <c r="AY36" s="155"/>
      <c r="AZ36" s="155"/>
      <c r="BA36" s="155">
        <f>AW36+BA35</f>
        <v>4357947.999999998</v>
      </c>
      <c r="BB36" s="155"/>
      <c r="BC36" s="155"/>
      <c r="BD36" s="161"/>
    </row>
    <row r="37" spans="2:56" ht="21" customHeight="1" thickBot="1" thickTop="1">
      <c r="B37" s="25"/>
      <c r="C37" s="13"/>
      <c r="D37" s="13"/>
      <c r="E37" s="13"/>
      <c r="F37" s="26" t="s">
        <v>79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5"/>
    </row>
    <row r="38" spans="2:56" ht="18.75" customHeight="1" thickTop="1">
      <c r="B38" s="162" t="s">
        <v>80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4"/>
    </row>
    <row r="39" spans="2:56" ht="18.75" customHeight="1">
      <c r="B39" s="141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132">
        <v>1</v>
      </c>
      <c r="R39" s="101"/>
      <c r="S39" s="101"/>
      <c r="T39" s="101"/>
      <c r="U39" s="101">
        <v>2</v>
      </c>
      <c r="V39" s="101"/>
      <c r="W39" s="101"/>
      <c r="X39" s="101"/>
      <c r="Y39" s="101">
        <v>3</v>
      </c>
      <c r="Z39" s="101"/>
      <c r="AA39" s="101"/>
      <c r="AB39" s="101"/>
      <c r="AC39" s="101">
        <v>4</v>
      </c>
      <c r="AD39" s="101"/>
      <c r="AE39" s="101"/>
      <c r="AF39" s="101"/>
      <c r="AG39" s="101">
        <v>5</v>
      </c>
      <c r="AH39" s="101"/>
      <c r="AI39" s="101"/>
      <c r="AJ39" s="101"/>
      <c r="AK39" s="101">
        <v>6</v>
      </c>
      <c r="AL39" s="101"/>
      <c r="AM39" s="101"/>
      <c r="AN39" s="101"/>
      <c r="AO39" s="101">
        <v>7</v>
      </c>
      <c r="AP39" s="101"/>
      <c r="AQ39" s="101"/>
      <c r="AR39" s="101"/>
      <c r="AS39" s="101">
        <v>8</v>
      </c>
      <c r="AT39" s="101"/>
      <c r="AU39" s="101"/>
      <c r="AV39" s="101"/>
      <c r="AW39" s="101">
        <v>9</v>
      </c>
      <c r="AX39" s="101"/>
      <c r="AY39" s="101"/>
      <c r="AZ39" s="101"/>
      <c r="BA39" s="101">
        <v>10</v>
      </c>
      <c r="BB39" s="101"/>
      <c r="BC39" s="101"/>
      <c r="BD39" s="152"/>
    </row>
    <row r="40" spans="2:56" ht="18.75" customHeight="1">
      <c r="B40" s="142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22">
        <f>Q22</f>
        <v>2019</v>
      </c>
      <c r="R40" s="95"/>
      <c r="S40" s="95"/>
      <c r="T40" s="95"/>
      <c r="U40" s="95">
        <f>Q40+1</f>
        <v>2020</v>
      </c>
      <c r="V40" s="95"/>
      <c r="W40" s="95"/>
      <c r="X40" s="95"/>
      <c r="Y40" s="95">
        <f>U40+1</f>
        <v>2021</v>
      </c>
      <c r="Z40" s="95"/>
      <c r="AA40" s="95"/>
      <c r="AB40" s="95"/>
      <c r="AC40" s="95">
        <f>Y40+1</f>
        <v>2022</v>
      </c>
      <c r="AD40" s="95"/>
      <c r="AE40" s="95"/>
      <c r="AF40" s="95"/>
      <c r="AG40" s="95">
        <f>AC40+1</f>
        <v>2023</v>
      </c>
      <c r="AH40" s="95"/>
      <c r="AI40" s="95"/>
      <c r="AJ40" s="95"/>
      <c r="AK40" s="95">
        <f>AG40+1</f>
        <v>2024</v>
      </c>
      <c r="AL40" s="95"/>
      <c r="AM40" s="95"/>
      <c r="AN40" s="95"/>
      <c r="AO40" s="95">
        <f>AK40+1</f>
        <v>2025</v>
      </c>
      <c r="AP40" s="95"/>
      <c r="AQ40" s="95"/>
      <c r="AR40" s="95"/>
      <c r="AS40" s="95">
        <f>AO40+1</f>
        <v>2026</v>
      </c>
      <c r="AT40" s="95"/>
      <c r="AU40" s="95"/>
      <c r="AV40" s="95"/>
      <c r="AW40" s="95">
        <f>AS40+1</f>
        <v>2027</v>
      </c>
      <c r="AX40" s="95"/>
      <c r="AY40" s="95"/>
      <c r="AZ40" s="95"/>
      <c r="BA40" s="95">
        <f>AW40+1</f>
        <v>2028</v>
      </c>
      <c r="BB40" s="95"/>
      <c r="BC40" s="95"/>
      <c r="BD40" s="148"/>
    </row>
    <row r="41" spans="2:56" ht="18.75" customHeight="1">
      <c r="B41" s="149" t="s">
        <v>81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1"/>
      <c r="Q41" s="135">
        <f>Q36-Q29</f>
        <v>2032154.1999999997</v>
      </c>
      <c r="R41" s="135"/>
      <c r="S41" s="135"/>
      <c r="T41" s="139"/>
      <c r="U41" s="135">
        <f>U36-U29</f>
        <v>1264308.3999999997</v>
      </c>
      <c r="V41" s="135"/>
      <c r="W41" s="135"/>
      <c r="X41" s="139"/>
      <c r="Y41" s="135">
        <f>Y36-Y29</f>
        <v>496462.5999999996</v>
      </c>
      <c r="Z41" s="135"/>
      <c r="AA41" s="135"/>
      <c r="AB41" s="139"/>
      <c r="AC41" s="135">
        <f>AC36-AC29</f>
        <v>-271383.20000000065</v>
      </c>
      <c r="AD41" s="135"/>
      <c r="AE41" s="135"/>
      <c r="AF41" s="139"/>
      <c r="AG41" s="135">
        <f>AG36-AG29</f>
        <v>-1299229.000000001</v>
      </c>
      <c r="AH41" s="135"/>
      <c r="AI41" s="135"/>
      <c r="AJ41" s="139"/>
      <c r="AK41" s="135">
        <f>AK36-AK29</f>
        <v>-2067074.8000000007</v>
      </c>
      <c r="AL41" s="135"/>
      <c r="AM41" s="135"/>
      <c r="AN41" s="139"/>
      <c r="AO41" s="135">
        <f>AO36-AO29</f>
        <v>-2834920.6000000006</v>
      </c>
      <c r="AP41" s="135"/>
      <c r="AQ41" s="135"/>
      <c r="AR41" s="139"/>
      <c r="AS41" s="135">
        <f>AS36-AS29</f>
        <v>-3602766.4000000004</v>
      </c>
      <c r="AT41" s="135"/>
      <c r="AU41" s="135"/>
      <c r="AV41" s="139"/>
      <c r="AW41" s="135">
        <f>AW36-AW29</f>
        <v>-4630612.2</v>
      </c>
      <c r="AX41" s="135"/>
      <c r="AY41" s="135"/>
      <c r="AZ41" s="139"/>
      <c r="BA41" s="135">
        <f>BA36-BA29</f>
        <v>-5398458</v>
      </c>
      <c r="BB41" s="135"/>
      <c r="BC41" s="135"/>
      <c r="BD41" s="136"/>
    </row>
    <row r="42" spans="2:56" ht="18.75" customHeight="1">
      <c r="B42" s="143" t="str">
        <f>B31</f>
        <v>HK-1Plus</v>
      </c>
      <c r="C42" s="144"/>
      <c r="D42" s="144"/>
      <c r="E42" s="144"/>
      <c r="F42" s="144"/>
      <c r="G42" s="144"/>
      <c r="H42" s="145" t="s">
        <v>82</v>
      </c>
      <c r="I42" s="145"/>
      <c r="J42" s="145"/>
      <c r="K42" s="146" t="str">
        <f>B24</f>
        <v>400Wクラス</v>
      </c>
      <c r="L42" s="146"/>
      <c r="M42" s="146"/>
      <c r="N42" s="146"/>
      <c r="O42" s="146"/>
      <c r="P42" s="147"/>
      <c r="Q42" s="137"/>
      <c r="R42" s="137"/>
      <c r="S42" s="137"/>
      <c r="T42" s="140"/>
      <c r="U42" s="137"/>
      <c r="V42" s="137"/>
      <c r="W42" s="137"/>
      <c r="X42" s="140"/>
      <c r="Y42" s="137"/>
      <c r="Z42" s="137"/>
      <c r="AA42" s="137"/>
      <c r="AB42" s="140"/>
      <c r="AC42" s="137"/>
      <c r="AD42" s="137"/>
      <c r="AE42" s="137"/>
      <c r="AF42" s="140"/>
      <c r="AG42" s="137"/>
      <c r="AH42" s="137"/>
      <c r="AI42" s="137"/>
      <c r="AJ42" s="140"/>
      <c r="AK42" s="137"/>
      <c r="AL42" s="137"/>
      <c r="AM42" s="137"/>
      <c r="AN42" s="140"/>
      <c r="AO42" s="137"/>
      <c r="AP42" s="137"/>
      <c r="AQ42" s="137"/>
      <c r="AR42" s="140"/>
      <c r="AS42" s="137"/>
      <c r="AT42" s="137"/>
      <c r="AU42" s="137"/>
      <c r="AV42" s="140"/>
      <c r="AW42" s="137"/>
      <c r="AX42" s="137"/>
      <c r="AY42" s="137"/>
      <c r="AZ42" s="140"/>
      <c r="BA42" s="137"/>
      <c r="BB42" s="137"/>
      <c r="BC42" s="137"/>
      <c r="BD42" s="138"/>
    </row>
    <row r="43" spans="2:56" ht="18.75" customHeight="1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9"/>
    </row>
    <row r="44" spans="2:56" ht="18.75" customHeight="1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9"/>
    </row>
    <row r="45" spans="2:56" ht="18.75" customHeight="1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9"/>
    </row>
    <row r="46" spans="2:56" ht="18.75" customHeight="1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9"/>
    </row>
    <row r="47" spans="2:56" ht="18.75" customHeight="1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9"/>
    </row>
    <row r="48" spans="2:56" ht="18.75" customHeight="1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9"/>
    </row>
    <row r="49" spans="2:56" ht="18.75" customHeight="1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9"/>
    </row>
    <row r="50" spans="2:56" ht="18.75" customHeight="1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9"/>
    </row>
    <row r="51" spans="2:56" ht="18.75" customHeight="1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9"/>
    </row>
    <row r="52" spans="2:56" ht="18.75" customHeight="1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9"/>
    </row>
    <row r="53" spans="2:56" ht="18.75" customHeight="1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9"/>
    </row>
    <row r="54" spans="2:56" ht="18.75" customHeight="1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9"/>
    </row>
    <row r="55" spans="2:56" ht="18.75" customHeight="1" thickBot="1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3"/>
    </row>
    <row r="56" spans="2:56" ht="18.75" customHeight="1" thickTop="1">
      <c r="B56" s="123" t="s">
        <v>83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5"/>
    </row>
    <row r="57" spans="2:56" ht="18.75" customHeight="1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  <c r="Q57" s="132">
        <v>1</v>
      </c>
      <c r="R57" s="101"/>
      <c r="S57" s="101"/>
      <c r="T57" s="101"/>
      <c r="U57" s="101">
        <v>2</v>
      </c>
      <c r="V57" s="101"/>
      <c r="W57" s="101"/>
      <c r="X57" s="101"/>
      <c r="Y57" s="101">
        <v>3</v>
      </c>
      <c r="Z57" s="101"/>
      <c r="AA57" s="101"/>
      <c r="AB57" s="101"/>
      <c r="AC57" s="101">
        <v>4</v>
      </c>
      <c r="AD57" s="101"/>
      <c r="AE57" s="101"/>
      <c r="AF57" s="101"/>
      <c r="AG57" s="101">
        <v>5</v>
      </c>
      <c r="AH57" s="101"/>
      <c r="AI57" s="101"/>
      <c r="AJ57" s="101"/>
      <c r="AK57" s="101">
        <v>6</v>
      </c>
      <c r="AL57" s="101"/>
      <c r="AM57" s="101"/>
      <c r="AN57" s="101"/>
      <c r="AO57" s="101">
        <v>7</v>
      </c>
      <c r="AP57" s="101"/>
      <c r="AQ57" s="101"/>
      <c r="AR57" s="101"/>
      <c r="AS57" s="101">
        <v>8</v>
      </c>
      <c r="AT57" s="101"/>
      <c r="AU57" s="101"/>
      <c r="AV57" s="101"/>
      <c r="AW57" s="101">
        <v>9</v>
      </c>
      <c r="AX57" s="101"/>
      <c r="AY57" s="101"/>
      <c r="AZ57" s="101"/>
      <c r="BA57" s="101">
        <v>10</v>
      </c>
      <c r="BB57" s="101"/>
      <c r="BC57" s="101"/>
      <c r="BD57" s="133"/>
    </row>
    <row r="58" spans="2:56" ht="18.75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1"/>
      <c r="Q58" s="122">
        <f>Q22</f>
        <v>2019</v>
      </c>
      <c r="R58" s="95"/>
      <c r="S58" s="95"/>
      <c r="T58" s="95"/>
      <c r="U58" s="95">
        <f>Q58+1</f>
        <v>2020</v>
      </c>
      <c r="V58" s="95"/>
      <c r="W58" s="95"/>
      <c r="X58" s="95"/>
      <c r="Y58" s="95">
        <f>U58+1</f>
        <v>2021</v>
      </c>
      <c r="Z58" s="95"/>
      <c r="AA58" s="95"/>
      <c r="AB58" s="95"/>
      <c r="AC58" s="95">
        <f>Y58+1</f>
        <v>2022</v>
      </c>
      <c r="AD58" s="95"/>
      <c r="AE58" s="95"/>
      <c r="AF58" s="95"/>
      <c r="AG58" s="95">
        <f>AC58+1</f>
        <v>2023</v>
      </c>
      <c r="AH58" s="95"/>
      <c r="AI58" s="95"/>
      <c r="AJ58" s="95"/>
      <c r="AK58" s="95">
        <f>AG58+1</f>
        <v>2024</v>
      </c>
      <c r="AL58" s="95"/>
      <c r="AM58" s="95"/>
      <c r="AN58" s="95"/>
      <c r="AO58" s="95">
        <f>AK58+1</f>
        <v>2025</v>
      </c>
      <c r="AP58" s="95"/>
      <c r="AQ58" s="95"/>
      <c r="AR58" s="95"/>
      <c r="AS58" s="95">
        <f>AO58+1</f>
        <v>2026</v>
      </c>
      <c r="AT58" s="95"/>
      <c r="AU58" s="95"/>
      <c r="AV58" s="95"/>
      <c r="AW58" s="95">
        <f>AS58+1</f>
        <v>2027</v>
      </c>
      <c r="AX58" s="95"/>
      <c r="AY58" s="95"/>
      <c r="AZ58" s="95"/>
      <c r="BA58" s="95">
        <f>AW58+1</f>
        <v>2028</v>
      </c>
      <c r="BB58" s="95"/>
      <c r="BC58" s="95"/>
      <c r="BD58" s="121"/>
    </row>
    <row r="59" spans="2:56" ht="7.5" customHeight="1"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35"/>
    </row>
    <row r="60" spans="2:56" ht="18.75" customHeight="1">
      <c r="B60" s="96" t="str">
        <f>K42</f>
        <v>400Wクラス</v>
      </c>
      <c r="C60" s="97"/>
      <c r="D60" s="97"/>
      <c r="E60" s="97"/>
      <c r="F60" s="97"/>
      <c r="G60" s="97"/>
      <c r="H60" s="98" t="s">
        <v>84</v>
      </c>
      <c r="I60" s="99"/>
      <c r="J60" s="99"/>
      <c r="K60" s="99"/>
      <c r="L60" s="99"/>
      <c r="M60" s="99"/>
      <c r="N60" s="99"/>
      <c r="O60" s="99"/>
      <c r="P60" s="100"/>
      <c r="Q60" s="119">
        <f>$D$72*Q57</f>
        <v>23732.688</v>
      </c>
      <c r="R60" s="119"/>
      <c r="S60" s="119"/>
      <c r="T60" s="119"/>
      <c r="U60" s="119">
        <f>$D$72*U57</f>
        <v>47465.376</v>
      </c>
      <c r="V60" s="119"/>
      <c r="W60" s="119"/>
      <c r="X60" s="119"/>
      <c r="Y60" s="119">
        <f>$D$72*Y57</f>
        <v>71198.064</v>
      </c>
      <c r="Z60" s="119"/>
      <c r="AA60" s="119"/>
      <c r="AB60" s="119"/>
      <c r="AC60" s="119">
        <f>$D$72*AC57</f>
        <v>94930.752</v>
      </c>
      <c r="AD60" s="119"/>
      <c r="AE60" s="119"/>
      <c r="AF60" s="119"/>
      <c r="AG60" s="119">
        <f>$D$72*AG57</f>
        <v>118663.43999999999</v>
      </c>
      <c r="AH60" s="119"/>
      <c r="AI60" s="119"/>
      <c r="AJ60" s="119"/>
      <c r="AK60" s="119">
        <f>$D$72*AK57</f>
        <v>142396.128</v>
      </c>
      <c r="AL60" s="119"/>
      <c r="AM60" s="119"/>
      <c r="AN60" s="119"/>
      <c r="AO60" s="119">
        <f>$D$72*AO57</f>
        <v>166128.816</v>
      </c>
      <c r="AP60" s="119"/>
      <c r="AQ60" s="119"/>
      <c r="AR60" s="119"/>
      <c r="AS60" s="119">
        <f>$D$72*AS57</f>
        <v>189861.504</v>
      </c>
      <c r="AT60" s="119"/>
      <c r="AU60" s="119"/>
      <c r="AV60" s="119"/>
      <c r="AW60" s="119">
        <f>$D$72*AW57</f>
        <v>213594.19199999998</v>
      </c>
      <c r="AX60" s="119"/>
      <c r="AY60" s="119"/>
      <c r="AZ60" s="119"/>
      <c r="BA60" s="119">
        <f>$D$72*BA57</f>
        <v>237326.87999999998</v>
      </c>
      <c r="BB60" s="119"/>
      <c r="BC60" s="119"/>
      <c r="BD60" s="120"/>
    </row>
    <row r="61" spans="2:56" ht="7.5" customHeight="1">
      <c r="B61" s="36"/>
      <c r="C61" s="37"/>
      <c r="D61" s="3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9"/>
    </row>
    <row r="62" spans="2:56" ht="18.75" customHeight="1">
      <c r="B62" s="88" t="str">
        <f>B42</f>
        <v>HK-1Plus</v>
      </c>
      <c r="C62" s="89"/>
      <c r="D62" s="89"/>
      <c r="E62" s="89"/>
      <c r="F62" s="89"/>
      <c r="G62" s="89"/>
      <c r="H62" s="90" t="s">
        <v>85</v>
      </c>
      <c r="I62" s="91"/>
      <c r="J62" s="91"/>
      <c r="K62" s="91"/>
      <c r="L62" s="91"/>
      <c r="M62" s="91"/>
      <c r="N62" s="91"/>
      <c r="O62" s="91"/>
      <c r="P62" s="92"/>
      <c r="Q62" s="117">
        <f>$G$72*Q57</f>
        <v>4003.104</v>
      </c>
      <c r="R62" s="117"/>
      <c r="S62" s="117"/>
      <c r="T62" s="117"/>
      <c r="U62" s="117">
        <f>$G$72*U57</f>
        <v>8006.208</v>
      </c>
      <c r="V62" s="117"/>
      <c r="W62" s="117"/>
      <c r="X62" s="117"/>
      <c r="Y62" s="117">
        <f>$G$72*Y57</f>
        <v>12009.312</v>
      </c>
      <c r="Z62" s="117"/>
      <c r="AA62" s="117"/>
      <c r="AB62" s="117"/>
      <c r="AC62" s="117">
        <f>$G$72*AC57</f>
        <v>16012.416</v>
      </c>
      <c r="AD62" s="117"/>
      <c r="AE62" s="117"/>
      <c r="AF62" s="117"/>
      <c r="AG62" s="117">
        <f>$G$72*AG57</f>
        <v>20015.52</v>
      </c>
      <c r="AH62" s="117"/>
      <c r="AI62" s="117"/>
      <c r="AJ62" s="117"/>
      <c r="AK62" s="117">
        <f>$G$72*AK57</f>
        <v>24018.624</v>
      </c>
      <c r="AL62" s="117"/>
      <c r="AM62" s="117"/>
      <c r="AN62" s="117"/>
      <c r="AO62" s="117">
        <f>$G$72*AO57</f>
        <v>28021.728</v>
      </c>
      <c r="AP62" s="117"/>
      <c r="AQ62" s="117"/>
      <c r="AR62" s="117"/>
      <c r="AS62" s="117">
        <f>$G$72*AS57</f>
        <v>32024.832</v>
      </c>
      <c r="AT62" s="117"/>
      <c r="AU62" s="117"/>
      <c r="AV62" s="117"/>
      <c r="AW62" s="117">
        <f>$G$72*AW57</f>
        <v>36027.936</v>
      </c>
      <c r="AX62" s="117"/>
      <c r="AY62" s="117"/>
      <c r="AZ62" s="117"/>
      <c r="BA62" s="117">
        <f>$G$72*BA57</f>
        <v>40031.04</v>
      </c>
      <c r="BB62" s="117"/>
      <c r="BC62" s="117"/>
      <c r="BD62" s="118"/>
    </row>
    <row r="63" spans="2:56" ht="7.5" customHeight="1">
      <c r="B63" s="4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</row>
    <row r="64" spans="2:56" ht="18.75" customHeight="1">
      <c r="B64" s="115" t="s">
        <v>86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0">
        <f>Q62-Q60</f>
        <v>-19729.584</v>
      </c>
      <c r="R64" s="110"/>
      <c r="S64" s="110"/>
      <c r="T64" s="110"/>
      <c r="U64" s="110">
        <f>U62-U60</f>
        <v>-39459.168</v>
      </c>
      <c r="V64" s="110"/>
      <c r="W64" s="110"/>
      <c r="X64" s="110"/>
      <c r="Y64" s="110">
        <f>Y62-Y60</f>
        <v>-59188.752</v>
      </c>
      <c r="Z64" s="110"/>
      <c r="AA64" s="110"/>
      <c r="AB64" s="110"/>
      <c r="AC64" s="110">
        <f>AC62-AC60</f>
        <v>-78918.336</v>
      </c>
      <c r="AD64" s="110"/>
      <c r="AE64" s="110"/>
      <c r="AF64" s="110"/>
      <c r="AG64" s="110">
        <f>AG62-AG60</f>
        <v>-98647.91999999998</v>
      </c>
      <c r="AH64" s="110"/>
      <c r="AI64" s="110"/>
      <c r="AJ64" s="110"/>
      <c r="AK64" s="110">
        <f>AK62-AK60</f>
        <v>-118377.504</v>
      </c>
      <c r="AL64" s="110"/>
      <c r="AM64" s="110"/>
      <c r="AN64" s="110"/>
      <c r="AO64" s="110">
        <f>AO62-AO60</f>
        <v>-138107.088</v>
      </c>
      <c r="AP64" s="110"/>
      <c r="AQ64" s="110"/>
      <c r="AR64" s="110"/>
      <c r="AS64" s="110">
        <f>AS62-AS60</f>
        <v>-157836.672</v>
      </c>
      <c r="AT64" s="110"/>
      <c r="AU64" s="110"/>
      <c r="AV64" s="110"/>
      <c r="AW64" s="110">
        <f>AW62-AW60</f>
        <v>-177566.256</v>
      </c>
      <c r="AX64" s="110"/>
      <c r="AY64" s="110"/>
      <c r="AZ64" s="110"/>
      <c r="BA64" s="110">
        <f>BA62-BA60</f>
        <v>-197295.83999999997</v>
      </c>
      <c r="BB64" s="110"/>
      <c r="BC64" s="110"/>
      <c r="BD64" s="112"/>
    </row>
    <row r="65" spans="2:56" ht="18.75" customHeight="1">
      <c r="B65" s="113"/>
      <c r="C65" s="114"/>
      <c r="D65" s="1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43"/>
    </row>
    <row r="66" spans="2:56" ht="18.75" customHeight="1">
      <c r="B66" s="40"/>
      <c r="C66" s="27"/>
      <c r="D66" s="2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43"/>
    </row>
    <row r="67" spans="2:56" ht="18.75" customHeight="1">
      <c r="B67" s="40"/>
      <c r="C67" s="27"/>
      <c r="D67" s="2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43"/>
    </row>
    <row r="68" spans="2:56" ht="18.75" customHeight="1">
      <c r="B68" s="40"/>
      <c r="C68" s="27"/>
      <c r="D68" s="27"/>
      <c r="E68" s="13"/>
      <c r="F68" s="13"/>
      <c r="G68" s="13"/>
      <c r="H68" s="13"/>
      <c r="I68" s="13"/>
      <c r="J68" s="13"/>
      <c r="K68" s="13"/>
      <c r="L68" s="44" t="s">
        <v>87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43"/>
    </row>
    <row r="69" spans="2:56" ht="18.75" customHeight="1">
      <c r="B69" s="111"/>
      <c r="C69" s="82"/>
      <c r="D69" s="82" t="str">
        <f>B60</f>
        <v>400Wクラス</v>
      </c>
      <c r="E69" s="82"/>
      <c r="F69" s="82"/>
      <c r="G69" s="82" t="str">
        <f>B62</f>
        <v>HK-1Plus</v>
      </c>
      <c r="H69" s="82"/>
      <c r="I69" s="82"/>
      <c r="J69" s="83" t="s">
        <v>33</v>
      </c>
      <c r="K69" s="83"/>
      <c r="L69" s="8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43"/>
    </row>
    <row r="70" spans="2:56" ht="18.75" customHeight="1">
      <c r="B70" s="109" t="s">
        <v>88</v>
      </c>
      <c r="C70" s="84"/>
      <c r="D70" s="134">
        <f>$O$9*AL12*AL10</f>
        <v>85.988</v>
      </c>
      <c r="E70" s="82"/>
      <c r="F70" s="82"/>
      <c r="G70" s="82">
        <f>$O$9*AS12*AS10</f>
        <v>14.504</v>
      </c>
      <c r="H70" s="82"/>
      <c r="I70" s="82"/>
      <c r="J70" s="83">
        <f>G70-D70</f>
        <v>-71.484</v>
      </c>
      <c r="K70" s="83"/>
      <c r="L70" s="8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43"/>
    </row>
    <row r="71" spans="2:56" ht="18.75" customHeight="1">
      <c r="B71" s="109" t="s">
        <v>89</v>
      </c>
      <c r="C71" s="84"/>
      <c r="D71" s="106">
        <f>D70*AL11</f>
        <v>1977.724</v>
      </c>
      <c r="E71" s="107"/>
      <c r="F71" s="108"/>
      <c r="G71" s="82">
        <f>G70*AS11</f>
        <v>333.592</v>
      </c>
      <c r="H71" s="82"/>
      <c r="I71" s="82"/>
      <c r="J71" s="83">
        <f>G71-D71</f>
        <v>-1644.132</v>
      </c>
      <c r="K71" s="83"/>
      <c r="L71" s="8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43"/>
    </row>
    <row r="72" spans="2:56" ht="18.75" customHeight="1">
      <c r="B72" s="109" t="s">
        <v>90</v>
      </c>
      <c r="C72" s="84"/>
      <c r="D72" s="82">
        <f>D71*12</f>
        <v>23732.688</v>
      </c>
      <c r="E72" s="82"/>
      <c r="F72" s="82"/>
      <c r="G72" s="82">
        <f>G71*12</f>
        <v>4003.104</v>
      </c>
      <c r="H72" s="82"/>
      <c r="I72" s="82"/>
      <c r="J72" s="83">
        <f>G72-D72</f>
        <v>-19729.584</v>
      </c>
      <c r="K72" s="83"/>
      <c r="L72" s="8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43"/>
    </row>
    <row r="73" spans="2:56" ht="18.75" customHeight="1">
      <c r="B73" s="109" t="s">
        <v>23</v>
      </c>
      <c r="C73" s="84"/>
      <c r="D73" s="82">
        <f>D72*5</f>
        <v>118663.43999999999</v>
      </c>
      <c r="E73" s="82"/>
      <c r="F73" s="82"/>
      <c r="G73" s="82">
        <f>G72*5</f>
        <v>20015.52</v>
      </c>
      <c r="H73" s="82"/>
      <c r="I73" s="82"/>
      <c r="J73" s="83">
        <f>G73-D73</f>
        <v>-98647.91999999998</v>
      </c>
      <c r="K73" s="83"/>
      <c r="L73" s="8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43"/>
    </row>
    <row r="74" spans="2:56" ht="18.75" customHeight="1">
      <c r="B74" s="109" t="s">
        <v>24</v>
      </c>
      <c r="C74" s="84"/>
      <c r="D74" s="82">
        <f>D72*10</f>
        <v>237326.87999999998</v>
      </c>
      <c r="E74" s="82"/>
      <c r="F74" s="82"/>
      <c r="G74" s="82">
        <f>G72*10</f>
        <v>40031.04</v>
      </c>
      <c r="H74" s="82"/>
      <c r="I74" s="82"/>
      <c r="J74" s="83">
        <f>G74-D74</f>
        <v>-197295.83999999997</v>
      </c>
      <c r="K74" s="83"/>
      <c r="L74" s="8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43"/>
    </row>
    <row r="75" spans="2:56" ht="18.75" customHeight="1">
      <c r="B75" s="4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43"/>
    </row>
    <row r="76" spans="2:56" ht="18.75" customHeight="1">
      <c r="B76" s="4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43"/>
    </row>
    <row r="77" spans="2:56" ht="18.75" customHeight="1">
      <c r="B77" s="4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43"/>
    </row>
    <row r="78" spans="2:56" ht="18.75" customHeight="1">
      <c r="B78" s="4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43"/>
    </row>
    <row r="79" spans="2:56" ht="18.75" customHeight="1">
      <c r="B79" s="4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43"/>
    </row>
    <row r="80" spans="2:56" ht="18.75" customHeight="1" thickBo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8"/>
    </row>
    <row r="81" spans="2:56" ht="18.75" customHeight="1" thickTop="1">
      <c r="B81" s="123" t="s">
        <v>91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5"/>
    </row>
    <row r="82" spans="2:56" ht="18.75" customHeight="1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  <c r="Q82" s="132">
        <v>1</v>
      </c>
      <c r="R82" s="101"/>
      <c r="S82" s="101"/>
      <c r="T82" s="101"/>
      <c r="U82" s="101">
        <v>2</v>
      </c>
      <c r="V82" s="101"/>
      <c r="W82" s="101"/>
      <c r="X82" s="101"/>
      <c r="Y82" s="101">
        <v>3</v>
      </c>
      <c r="Z82" s="101"/>
      <c r="AA82" s="101"/>
      <c r="AB82" s="101"/>
      <c r="AC82" s="101">
        <v>4</v>
      </c>
      <c r="AD82" s="101"/>
      <c r="AE82" s="101"/>
      <c r="AF82" s="101"/>
      <c r="AG82" s="101">
        <v>5</v>
      </c>
      <c r="AH82" s="101"/>
      <c r="AI82" s="101"/>
      <c r="AJ82" s="101"/>
      <c r="AK82" s="101">
        <v>6</v>
      </c>
      <c r="AL82" s="101"/>
      <c r="AM82" s="101"/>
      <c r="AN82" s="101"/>
      <c r="AO82" s="101">
        <v>7</v>
      </c>
      <c r="AP82" s="101"/>
      <c r="AQ82" s="101"/>
      <c r="AR82" s="101"/>
      <c r="AS82" s="101">
        <v>8</v>
      </c>
      <c r="AT82" s="101"/>
      <c r="AU82" s="101"/>
      <c r="AV82" s="101"/>
      <c r="AW82" s="101">
        <v>9</v>
      </c>
      <c r="AX82" s="101"/>
      <c r="AY82" s="101"/>
      <c r="AZ82" s="101"/>
      <c r="BA82" s="101">
        <v>10</v>
      </c>
      <c r="BB82" s="101"/>
      <c r="BC82" s="101"/>
      <c r="BD82" s="133"/>
    </row>
    <row r="83" spans="2:56" ht="18.75" customHeight="1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122">
        <f>Q22</f>
        <v>2019</v>
      </c>
      <c r="R83" s="95"/>
      <c r="S83" s="95"/>
      <c r="T83" s="95"/>
      <c r="U83" s="95">
        <f>Q83+1</f>
        <v>2020</v>
      </c>
      <c r="V83" s="95"/>
      <c r="W83" s="95"/>
      <c r="X83" s="95"/>
      <c r="Y83" s="95">
        <f>U83+1</f>
        <v>2021</v>
      </c>
      <c r="Z83" s="95"/>
      <c r="AA83" s="95"/>
      <c r="AB83" s="95"/>
      <c r="AC83" s="95">
        <f>Y83+1</f>
        <v>2022</v>
      </c>
      <c r="AD83" s="95"/>
      <c r="AE83" s="95"/>
      <c r="AF83" s="95"/>
      <c r="AG83" s="95">
        <f>AC83+1</f>
        <v>2023</v>
      </c>
      <c r="AH83" s="95"/>
      <c r="AI83" s="95"/>
      <c r="AJ83" s="95"/>
      <c r="AK83" s="95">
        <f>AG83+1</f>
        <v>2024</v>
      </c>
      <c r="AL83" s="95"/>
      <c r="AM83" s="95"/>
      <c r="AN83" s="95"/>
      <c r="AO83" s="95">
        <f>AK83+1</f>
        <v>2025</v>
      </c>
      <c r="AP83" s="95"/>
      <c r="AQ83" s="95"/>
      <c r="AR83" s="95"/>
      <c r="AS83" s="95">
        <f>AO83+1</f>
        <v>2026</v>
      </c>
      <c r="AT83" s="95"/>
      <c r="AU83" s="95"/>
      <c r="AV83" s="95"/>
      <c r="AW83" s="95">
        <f>AS83+1</f>
        <v>2027</v>
      </c>
      <c r="AX83" s="95"/>
      <c r="AY83" s="95"/>
      <c r="AZ83" s="95"/>
      <c r="BA83" s="95">
        <f>AW83+1</f>
        <v>2028</v>
      </c>
      <c r="BB83" s="95"/>
      <c r="BC83" s="95"/>
      <c r="BD83" s="121"/>
    </row>
    <row r="84" spans="2:56" ht="7.5" customHeight="1">
      <c r="B84" s="3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6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35"/>
    </row>
    <row r="85" spans="2:56" ht="18.75" customHeight="1">
      <c r="B85" s="96" t="str">
        <f>B60</f>
        <v>400Wクラス</v>
      </c>
      <c r="C85" s="97"/>
      <c r="D85" s="97"/>
      <c r="E85" s="97"/>
      <c r="F85" s="97"/>
      <c r="G85" s="97"/>
      <c r="H85" s="98" t="s">
        <v>92</v>
      </c>
      <c r="I85" s="99"/>
      <c r="J85" s="99"/>
      <c r="K85" s="99"/>
      <c r="L85" s="99"/>
      <c r="M85" s="99"/>
      <c r="N85" s="99"/>
      <c r="O85" s="99"/>
      <c r="P85" s="100"/>
      <c r="Q85" s="119">
        <f>$D$97*Q82</f>
        <v>23732.688</v>
      </c>
      <c r="R85" s="119"/>
      <c r="S85" s="119"/>
      <c r="T85" s="119"/>
      <c r="U85" s="119">
        <f>$D$97*U82</f>
        <v>47465.376</v>
      </c>
      <c r="V85" s="119"/>
      <c r="W85" s="119"/>
      <c r="X85" s="119"/>
      <c r="Y85" s="119">
        <f>$D$97*Y82</f>
        <v>71198.064</v>
      </c>
      <c r="Z85" s="119"/>
      <c r="AA85" s="119"/>
      <c r="AB85" s="119"/>
      <c r="AC85" s="119">
        <f>$D$97*AC82</f>
        <v>94930.752</v>
      </c>
      <c r="AD85" s="119"/>
      <c r="AE85" s="119"/>
      <c r="AF85" s="119"/>
      <c r="AG85" s="119">
        <f>$D$97*AG82</f>
        <v>118663.43999999999</v>
      </c>
      <c r="AH85" s="119"/>
      <c r="AI85" s="119"/>
      <c r="AJ85" s="119"/>
      <c r="AK85" s="119">
        <f>$D$97*AK82</f>
        <v>142396.128</v>
      </c>
      <c r="AL85" s="119"/>
      <c r="AM85" s="119"/>
      <c r="AN85" s="119"/>
      <c r="AO85" s="119">
        <f>$D$97*AO82</f>
        <v>166128.816</v>
      </c>
      <c r="AP85" s="119"/>
      <c r="AQ85" s="119"/>
      <c r="AR85" s="119"/>
      <c r="AS85" s="119">
        <f>$D$97*AS82</f>
        <v>189861.504</v>
      </c>
      <c r="AT85" s="119"/>
      <c r="AU85" s="119"/>
      <c r="AV85" s="119"/>
      <c r="AW85" s="119">
        <f>$D$97*AW82</f>
        <v>213594.19199999998</v>
      </c>
      <c r="AX85" s="119"/>
      <c r="AY85" s="119"/>
      <c r="AZ85" s="119"/>
      <c r="BA85" s="119">
        <f>$D$97*BA82</f>
        <v>237326.87999999998</v>
      </c>
      <c r="BB85" s="119"/>
      <c r="BC85" s="119"/>
      <c r="BD85" s="120"/>
    </row>
    <row r="86" spans="2:56" ht="7.5" customHeight="1">
      <c r="B86" s="36"/>
      <c r="C86" s="37"/>
      <c r="D86" s="3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56" ht="18.75" customHeight="1">
      <c r="B87" s="88" t="str">
        <f>B62</f>
        <v>HK-1Plus</v>
      </c>
      <c r="C87" s="89"/>
      <c r="D87" s="89"/>
      <c r="E87" s="89"/>
      <c r="F87" s="89"/>
      <c r="G87" s="89"/>
      <c r="H87" s="90" t="s">
        <v>92</v>
      </c>
      <c r="I87" s="91"/>
      <c r="J87" s="91"/>
      <c r="K87" s="91"/>
      <c r="L87" s="91"/>
      <c r="M87" s="91"/>
      <c r="N87" s="91"/>
      <c r="O87" s="91"/>
      <c r="P87" s="92"/>
      <c r="Q87" s="117">
        <f>$G$97*Q82</f>
        <v>4003.104</v>
      </c>
      <c r="R87" s="117"/>
      <c r="S87" s="117"/>
      <c r="T87" s="117"/>
      <c r="U87" s="117">
        <f>$G$97*U82</f>
        <v>8006.208</v>
      </c>
      <c r="V87" s="117"/>
      <c r="W87" s="117"/>
      <c r="X87" s="117"/>
      <c r="Y87" s="117">
        <f>$G$97*Y82</f>
        <v>12009.312</v>
      </c>
      <c r="Z87" s="117"/>
      <c r="AA87" s="117"/>
      <c r="AB87" s="117"/>
      <c r="AC87" s="117">
        <f>$G$97*AC82</f>
        <v>16012.416</v>
      </c>
      <c r="AD87" s="117"/>
      <c r="AE87" s="117"/>
      <c r="AF87" s="117"/>
      <c r="AG87" s="117">
        <f>$G$97*AG82</f>
        <v>20015.52</v>
      </c>
      <c r="AH87" s="117"/>
      <c r="AI87" s="117"/>
      <c r="AJ87" s="117"/>
      <c r="AK87" s="117">
        <f>$G$97*AK82</f>
        <v>24018.624</v>
      </c>
      <c r="AL87" s="117"/>
      <c r="AM87" s="117"/>
      <c r="AN87" s="117"/>
      <c r="AO87" s="117">
        <f>$G$97*AO82</f>
        <v>28021.728</v>
      </c>
      <c r="AP87" s="117"/>
      <c r="AQ87" s="117"/>
      <c r="AR87" s="117"/>
      <c r="AS87" s="117">
        <f>$G$97*AS82</f>
        <v>32024.832</v>
      </c>
      <c r="AT87" s="117"/>
      <c r="AU87" s="117"/>
      <c r="AV87" s="117"/>
      <c r="AW87" s="117">
        <f>$G$97*AW82</f>
        <v>36027.936</v>
      </c>
      <c r="AX87" s="117"/>
      <c r="AY87" s="117"/>
      <c r="AZ87" s="117"/>
      <c r="BA87" s="117">
        <f>$G$97*BA82</f>
        <v>40031.04</v>
      </c>
      <c r="BB87" s="117"/>
      <c r="BC87" s="117"/>
      <c r="BD87" s="118"/>
    </row>
    <row r="88" spans="2:56" ht="7.5" customHeight="1">
      <c r="B88" s="4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2"/>
    </row>
    <row r="89" spans="2:56" ht="18.75" customHeight="1">
      <c r="B89" s="115" t="s">
        <v>86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0">
        <f>Q87-Q85</f>
        <v>-19729.584</v>
      </c>
      <c r="R89" s="110"/>
      <c r="S89" s="110"/>
      <c r="T89" s="110"/>
      <c r="U89" s="110">
        <f>U87-U85</f>
        <v>-39459.168</v>
      </c>
      <c r="V89" s="110"/>
      <c r="W89" s="110"/>
      <c r="X89" s="110"/>
      <c r="Y89" s="110">
        <f>Y87-Y85</f>
        <v>-59188.752</v>
      </c>
      <c r="Z89" s="110"/>
      <c r="AA89" s="110"/>
      <c r="AB89" s="110"/>
      <c r="AC89" s="110">
        <f>AC87-AC85</f>
        <v>-78918.336</v>
      </c>
      <c r="AD89" s="110"/>
      <c r="AE89" s="110"/>
      <c r="AF89" s="110"/>
      <c r="AG89" s="110">
        <f>AG87-AG85</f>
        <v>-98647.91999999998</v>
      </c>
      <c r="AH89" s="110"/>
      <c r="AI89" s="110"/>
      <c r="AJ89" s="110"/>
      <c r="AK89" s="110">
        <f>AK87-AK85</f>
        <v>-118377.504</v>
      </c>
      <c r="AL89" s="110"/>
      <c r="AM89" s="110"/>
      <c r="AN89" s="110"/>
      <c r="AO89" s="110">
        <f>AO87-AO85</f>
        <v>-138107.088</v>
      </c>
      <c r="AP89" s="110"/>
      <c r="AQ89" s="110"/>
      <c r="AR89" s="110"/>
      <c r="AS89" s="110">
        <f>AS87-AS85</f>
        <v>-157836.672</v>
      </c>
      <c r="AT89" s="110"/>
      <c r="AU89" s="110"/>
      <c r="AV89" s="110"/>
      <c r="AW89" s="110">
        <f>AW87-AW85</f>
        <v>-177566.256</v>
      </c>
      <c r="AX89" s="110"/>
      <c r="AY89" s="110"/>
      <c r="AZ89" s="110"/>
      <c r="BA89" s="110">
        <f>BA87-BA85</f>
        <v>-197295.83999999997</v>
      </c>
      <c r="BB89" s="110"/>
      <c r="BC89" s="110"/>
      <c r="BD89" s="112"/>
    </row>
    <row r="90" spans="2:56" ht="18.75" customHeight="1">
      <c r="B90" s="113"/>
      <c r="C90" s="114"/>
      <c r="D90" s="1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43"/>
    </row>
    <row r="91" spans="2:56" ht="18.75" customHeight="1">
      <c r="B91" s="40"/>
      <c r="C91" s="27"/>
      <c r="D91" s="2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43"/>
    </row>
    <row r="92" spans="2:56" ht="18.75" customHeight="1">
      <c r="B92" s="40"/>
      <c r="C92" s="27"/>
      <c r="D92" s="2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43"/>
    </row>
    <row r="93" spans="2:56" ht="18.75" customHeight="1">
      <c r="B93" s="40"/>
      <c r="C93" s="27"/>
      <c r="D93" s="27"/>
      <c r="E93" s="13"/>
      <c r="F93" s="13"/>
      <c r="G93" s="13"/>
      <c r="H93" s="13"/>
      <c r="I93" s="13"/>
      <c r="J93" s="13"/>
      <c r="K93" s="13"/>
      <c r="L93" s="44" t="s">
        <v>87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43"/>
    </row>
    <row r="94" spans="2:56" ht="18.75" customHeight="1">
      <c r="B94" s="111"/>
      <c r="C94" s="82"/>
      <c r="D94" s="82" t="str">
        <f>B85</f>
        <v>400Wクラス</v>
      </c>
      <c r="E94" s="82"/>
      <c r="F94" s="82"/>
      <c r="G94" s="82" t="str">
        <f>B87</f>
        <v>HK-1Plus</v>
      </c>
      <c r="H94" s="82"/>
      <c r="I94" s="82"/>
      <c r="J94" s="83" t="s">
        <v>33</v>
      </c>
      <c r="K94" s="83"/>
      <c r="L94" s="8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43"/>
    </row>
    <row r="95" spans="2:56" ht="18.75" customHeight="1">
      <c r="B95" s="109" t="s">
        <v>88</v>
      </c>
      <c r="C95" s="84"/>
      <c r="D95" s="82">
        <f>$S$9*AL12*AL10</f>
        <v>85.988</v>
      </c>
      <c r="E95" s="82"/>
      <c r="F95" s="82"/>
      <c r="G95" s="82">
        <f>$S$9*AS12*AS10</f>
        <v>14.504</v>
      </c>
      <c r="H95" s="82"/>
      <c r="I95" s="82"/>
      <c r="J95" s="83">
        <f>G95-D95</f>
        <v>-71.484</v>
      </c>
      <c r="K95" s="83"/>
      <c r="L95" s="8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43"/>
    </row>
    <row r="96" spans="2:56" ht="18.75" customHeight="1">
      <c r="B96" s="109" t="s">
        <v>89</v>
      </c>
      <c r="C96" s="84"/>
      <c r="D96" s="106">
        <f>D95*AL11</f>
        <v>1977.724</v>
      </c>
      <c r="E96" s="107"/>
      <c r="F96" s="108"/>
      <c r="G96" s="82">
        <f>G95*AS11</f>
        <v>333.592</v>
      </c>
      <c r="H96" s="82"/>
      <c r="I96" s="82"/>
      <c r="J96" s="83">
        <f>G96-D96</f>
        <v>-1644.132</v>
      </c>
      <c r="K96" s="83"/>
      <c r="L96" s="8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43"/>
    </row>
    <row r="97" spans="2:56" ht="18.75" customHeight="1">
      <c r="B97" s="109" t="s">
        <v>90</v>
      </c>
      <c r="C97" s="84"/>
      <c r="D97" s="82">
        <f>D96*12</f>
        <v>23732.688</v>
      </c>
      <c r="E97" s="82"/>
      <c r="F97" s="82"/>
      <c r="G97" s="82">
        <f>G96*12</f>
        <v>4003.104</v>
      </c>
      <c r="H97" s="82"/>
      <c r="I97" s="82"/>
      <c r="J97" s="83">
        <f>G97-D97</f>
        <v>-19729.584</v>
      </c>
      <c r="K97" s="83"/>
      <c r="L97" s="8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43"/>
    </row>
    <row r="98" spans="2:56" ht="18.75" customHeight="1">
      <c r="B98" s="109" t="s">
        <v>23</v>
      </c>
      <c r="C98" s="84"/>
      <c r="D98" s="82">
        <f>D97*5</f>
        <v>118663.43999999999</v>
      </c>
      <c r="E98" s="82"/>
      <c r="F98" s="82"/>
      <c r="G98" s="82">
        <f>G97*5</f>
        <v>20015.52</v>
      </c>
      <c r="H98" s="82"/>
      <c r="I98" s="82"/>
      <c r="J98" s="83">
        <f>G98-D98</f>
        <v>-98647.91999999998</v>
      </c>
      <c r="K98" s="83"/>
      <c r="L98" s="8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43"/>
    </row>
    <row r="99" spans="2:56" ht="18.75" customHeight="1">
      <c r="B99" s="109" t="s">
        <v>24</v>
      </c>
      <c r="C99" s="84"/>
      <c r="D99" s="82">
        <f>D97*10</f>
        <v>237326.87999999998</v>
      </c>
      <c r="E99" s="82"/>
      <c r="F99" s="82"/>
      <c r="G99" s="82">
        <f>G97*10</f>
        <v>40031.04</v>
      </c>
      <c r="H99" s="82"/>
      <c r="I99" s="82"/>
      <c r="J99" s="83">
        <f>G99-D99</f>
        <v>-197295.83999999997</v>
      </c>
      <c r="K99" s="83"/>
      <c r="L99" s="8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43"/>
    </row>
    <row r="100" spans="2:56" ht="18.75" customHeight="1">
      <c r="B100" s="4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43"/>
    </row>
    <row r="101" spans="2:56" ht="18.75" customHeight="1">
      <c r="B101" s="4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43"/>
    </row>
    <row r="102" spans="2:56" ht="18.75" customHeight="1">
      <c r="B102" s="4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43"/>
    </row>
    <row r="103" spans="2:56" ht="18.75" customHeight="1">
      <c r="B103" s="4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43"/>
    </row>
    <row r="104" spans="2:56" ht="18.75" customHeight="1">
      <c r="B104" s="4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43"/>
    </row>
    <row r="105" spans="2:56" ht="18.75" customHeight="1" thickBo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8"/>
    </row>
    <row r="106" spans="2:56" ht="18.75" customHeight="1" thickTop="1">
      <c r="B106" s="102" t="s">
        <v>93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4"/>
    </row>
    <row r="107" spans="2:56" ht="18.7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1">
        <v>1</v>
      </c>
      <c r="R107" s="101"/>
      <c r="S107" s="101"/>
      <c r="T107" s="101"/>
      <c r="U107" s="101">
        <v>2</v>
      </c>
      <c r="V107" s="101"/>
      <c r="W107" s="101"/>
      <c r="X107" s="101"/>
      <c r="Y107" s="101">
        <v>3</v>
      </c>
      <c r="Z107" s="101"/>
      <c r="AA107" s="101"/>
      <c r="AB107" s="101"/>
      <c r="AC107" s="101">
        <v>4</v>
      </c>
      <c r="AD107" s="101"/>
      <c r="AE107" s="101"/>
      <c r="AF107" s="101"/>
      <c r="AG107" s="101">
        <v>5</v>
      </c>
      <c r="AH107" s="101"/>
      <c r="AI107" s="101"/>
      <c r="AJ107" s="101"/>
      <c r="AK107" s="101">
        <v>6</v>
      </c>
      <c r="AL107" s="101"/>
      <c r="AM107" s="101"/>
      <c r="AN107" s="101"/>
      <c r="AO107" s="101">
        <v>7</v>
      </c>
      <c r="AP107" s="101"/>
      <c r="AQ107" s="101"/>
      <c r="AR107" s="101"/>
      <c r="AS107" s="101">
        <v>8</v>
      </c>
      <c r="AT107" s="101"/>
      <c r="AU107" s="101"/>
      <c r="AV107" s="101"/>
      <c r="AW107" s="101">
        <v>9</v>
      </c>
      <c r="AX107" s="101"/>
      <c r="AY107" s="101"/>
      <c r="AZ107" s="101"/>
      <c r="BA107" s="101">
        <v>10</v>
      </c>
      <c r="BB107" s="101"/>
      <c r="BC107" s="101"/>
      <c r="BD107" s="101"/>
    </row>
    <row r="108" spans="2:56" ht="18.7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95">
        <f>Q22</f>
        <v>2019</v>
      </c>
      <c r="R108" s="95"/>
      <c r="S108" s="95"/>
      <c r="T108" s="95"/>
      <c r="U108" s="95">
        <f>Q108+1</f>
        <v>2020</v>
      </c>
      <c r="V108" s="95"/>
      <c r="W108" s="95"/>
      <c r="X108" s="95"/>
      <c r="Y108" s="95">
        <f>U108+1</f>
        <v>2021</v>
      </c>
      <c r="Z108" s="95"/>
      <c r="AA108" s="95"/>
      <c r="AB108" s="95"/>
      <c r="AC108" s="95">
        <f>Y108+1</f>
        <v>2022</v>
      </c>
      <c r="AD108" s="95"/>
      <c r="AE108" s="95"/>
      <c r="AF108" s="95"/>
      <c r="AG108" s="95">
        <f>AC108+1</f>
        <v>2023</v>
      </c>
      <c r="AH108" s="95"/>
      <c r="AI108" s="95"/>
      <c r="AJ108" s="95"/>
      <c r="AK108" s="95">
        <f>AG108+1</f>
        <v>2024</v>
      </c>
      <c r="AL108" s="95"/>
      <c r="AM108" s="95"/>
      <c r="AN108" s="95"/>
      <c r="AO108" s="95">
        <f>AK108+1</f>
        <v>2025</v>
      </c>
      <c r="AP108" s="95"/>
      <c r="AQ108" s="95"/>
      <c r="AR108" s="95"/>
      <c r="AS108" s="95">
        <f>AO108+1</f>
        <v>2026</v>
      </c>
      <c r="AT108" s="95"/>
      <c r="AU108" s="95"/>
      <c r="AV108" s="95"/>
      <c r="AW108" s="95">
        <f>AS108+1</f>
        <v>2027</v>
      </c>
      <c r="AX108" s="95"/>
      <c r="AY108" s="95"/>
      <c r="AZ108" s="95"/>
      <c r="BA108" s="95">
        <f>AW108+1</f>
        <v>2028</v>
      </c>
      <c r="BB108" s="95"/>
      <c r="BC108" s="95"/>
      <c r="BD108" s="95"/>
    </row>
    <row r="109" spans="2:56" ht="7.5" customHeight="1">
      <c r="B109" s="49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5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51"/>
    </row>
    <row r="110" spans="2:56" ht="18.75" customHeight="1">
      <c r="B110" s="96" t="str">
        <f>B85</f>
        <v>400Wクラス</v>
      </c>
      <c r="C110" s="97"/>
      <c r="D110" s="97"/>
      <c r="E110" s="97"/>
      <c r="F110" s="97"/>
      <c r="G110" s="97"/>
      <c r="H110" s="98" t="s">
        <v>92</v>
      </c>
      <c r="I110" s="99"/>
      <c r="J110" s="99"/>
      <c r="K110" s="99"/>
      <c r="L110" s="99"/>
      <c r="M110" s="99"/>
      <c r="N110" s="99"/>
      <c r="O110" s="99"/>
      <c r="P110" s="100"/>
      <c r="Q110" s="94">
        <f>$AL$12*$AL$10*$AL$11*12</f>
        <v>45816</v>
      </c>
      <c r="R110" s="94"/>
      <c r="S110" s="94"/>
      <c r="T110" s="94"/>
      <c r="U110" s="94">
        <f>$AL$12*$AL$10*$AL$11*12*U107</f>
        <v>91632</v>
      </c>
      <c r="V110" s="94"/>
      <c r="W110" s="94"/>
      <c r="X110" s="94"/>
      <c r="Y110" s="94">
        <f>$AL$12*$AL$10*$AL$11*12*Y107</f>
        <v>137448</v>
      </c>
      <c r="Z110" s="94"/>
      <c r="AA110" s="94"/>
      <c r="AB110" s="94"/>
      <c r="AC110" s="94">
        <f>$AL$12*$AL$10*$AL$11*12*AC107</f>
        <v>183264</v>
      </c>
      <c r="AD110" s="94"/>
      <c r="AE110" s="94"/>
      <c r="AF110" s="94"/>
      <c r="AG110" s="94">
        <f>$AL$12*$AL$10*$AL$11*12*AG107</f>
        <v>229080</v>
      </c>
      <c r="AH110" s="94"/>
      <c r="AI110" s="94"/>
      <c r="AJ110" s="94"/>
      <c r="AK110" s="94">
        <f>$AL$12*$AL$10*$AL$11*12*AK107</f>
        <v>274896</v>
      </c>
      <c r="AL110" s="94"/>
      <c r="AM110" s="94"/>
      <c r="AN110" s="94"/>
      <c r="AO110" s="94">
        <f>$AL$12*$AL$10*$AL$11*12*AO107</f>
        <v>320712</v>
      </c>
      <c r="AP110" s="94"/>
      <c r="AQ110" s="94"/>
      <c r="AR110" s="94"/>
      <c r="AS110" s="94">
        <f>$AL$12*$AL$10*$AL$11*12*AS107</f>
        <v>366528</v>
      </c>
      <c r="AT110" s="94"/>
      <c r="AU110" s="94"/>
      <c r="AV110" s="94"/>
      <c r="AW110" s="94">
        <f>$AL$12*$AL$10*$AL$11*12*AW107</f>
        <v>412344</v>
      </c>
      <c r="AX110" s="94"/>
      <c r="AY110" s="94"/>
      <c r="AZ110" s="94"/>
      <c r="BA110" s="94">
        <f>$AL$12*$AL$10*$AL$11*12*BA107</f>
        <v>458160</v>
      </c>
      <c r="BB110" s="94"/>
      <c r="BC110" s="94"/>
      <c r="BD110" s="94"/>
    </row>
    <row r="111" spans="2:56" ht="7.5" customHeight="1">
      <c r="B111" s="36"/>
      <c r="C111" s="37"/>
      <c r="D111" s="37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52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53"/>
    </row>
    <row r="112" spans="2:56" ht="18.75" customHeight="1">
      <c r="B112" s="88" t="str">
        <f>B87</f>
        <v>HK-1Plus</v>
      </c>
      <c r="C112" s="89"/>
      <c r="D112" s="89"/>
      <c r="E112" s="89"/>
      <c r="F112" s="89"/>
      <c r="G112" s="89"/>
      <c r="H112" s="90" t="s">
        <v>92</v>
      </c>
      <c r="I112" s="91"/>
      <c r="J112" s="91"/>
      <c r="K112" s="91"/>
      <c r="L112" s="91"/>
      <c r="M112" s="91"/>
      <c r="N112" s="91"/>
      <c r="O112" s="91"/>
      <c r="P112" s="92"/>
      <c r="Q112" s="86">
        <f>$AS$12*$AS$10*$AS$11*12</f>
        <v>7728</v>
      </c>
      <c r="R112" s="86"/>
      <c r="S112" s="86"/>
      <c r="T112" s="86"/>
      <c r="U112" s="86">
        <f>$AS$12*$AS$10*$AS$11*12*U107</f>
        <v>15456</v>
      </c>
      <c r="V112" s="86"/>
      <c r="W112" s="86"/>
      <c r="X112" s="86"/>
      <c r="Y112" s="86">
        <f>$AS$12*$AS$10*$AS$11*12*Y107</f>
        <v>23184</v>
      </c>
      <c r="Z112" s="86"/>
      <c r="AA112" s="86"/>
      <c r="AB112" s="86"/>
      <c r="AC112" s="86">
        <f>$AS$12*$AS$10*$AS$11*12*AC107</f>
        <v>30912</v>
      </c>
      <c r="AD112" s="86"/>
      <c r="AE112" s="86"/>
      <c r="AF112" s="86"/>
      <c r="AG112" s="86">
        <f>$AS$12*$AS$10*$AS$11*12*AG107</f>
        <v>38640</v>
      </c>
      <c r="AH112" s="86"/>
      <c r="AI112" s="86"/>
      <c r="AJ112" s="86"/>
      <c r="AK112" s="86">
        <f>$AS$12*$AS$10*$AS$11*12*AK107</f>
        <v>46368</v>
      </c>
      <c r="AL112" s="86"/>
      <c r="AM112" s="86"/>
      <c r="AN112" s="86"/>
      <c r="AO112" s="86">
        <f>$AS$12*$AS$10*$AS$11*12*AO107</f>
        <v>54096</v>
      </c>
      <c r="AP112" s="86"/>
      <c r="AQ112" s="86"/>
      <c r="AR112" s="86"/>
      <c r="AS112" s="86">
        <f>$AS$12*$AS$10*$AS$11*12*AS107</f>
        <v>61824</v>
      </c>
      <c r="AT112" s="86"/>
      <c r="AU112" s="86"/>
      <c r="AV112" s="86"/>
      <c r="AW112" s="86">
        <f>$AS$12*$AS$10*$AS$11*12*AW107</f>
        <v>69552</v>
      </c>
      <c r="AX112" s="86"/>
      <c r="AY112" s="86"/>
      <c r="AZ112" s="86"/>
      <c r="BA112" s="86">
        <f>$AS$12*$AS$10*$AS$11*12*BA107</f>
        <v>77280</v>
      </c>
      <c r="BB112" s="86"/>
      <c r="BC112" s="86"/>
      <c r="BD112" s="86"/>
    </row>
    <row r="113" spans="2:56" ht="7.5" customHeight="1">
      <c r="B113" s="5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55"/>
    </row>
    <row r="114" spans="2:56" ht="18.75" customHeight="1">
      <c r="B114" s="93" t="s">
        <v>86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85">
        <f>Q112-Q110</f>
        <v>-38088</v>
      </c>
      <c r="R114" s="85"/>
      <c r="S114" s="85"/>
      <c r="T114" s="85"/>
      <c r="U114" s="85">
        <f>U112-U110</f>
        <v>-76176</v>
      </c>
      <c r="V114" s="85"/>
      <c r="W114" s="85"/>
      <c r="X114" s="85"/>
      <c r="Y114" s="85">
        <f>Y112-Y110</f>
        <v>-114264</v>
      </c>
      <c r="Z114" s="85"/>
      <c r="AA114" s="85"/>
      <c r="AB114" s="85"/>
      <c r="AC114" s="85">
        <f>AC112-AC110</f>
        <v>-152352</v>
      </c>
      <c r="AD114" s="85"/>
      <c r="AE114" s="85"/>
      <c r="AF114" s="85"/>
      <c r="AG114" s="85">
        <f>AG112-AG110</f>
        <v>-190440</v>
      </c>
      <c r="AH114" s="85"/>
      <c r="AI114" s="85"/>
      <c r="AJ114" s="85"/>
      <c r="AK114" s="85">
        <f>AK112-AK110</f>
        <v>-228528</v>
      </c>
      <c r="AL114" s="85"/>
      <c r="AM114" s="85"/>
      <c r="AN114" s="85"/>
      <c r="AO114" s="85">
        <f>AO112-AO110</f>
        <v>-266616</v>
      </c>
      <c r="AP114" s="85"/>
      <c r="AQ114" s="85"/>
      <c r="AR114" s="85"/>
      <c r="AS114" s="85">
        <f>AS112-AS110</f>
        <v>-304704</v>
      </c>
      <c r="AT114" s="85"/>
      <c r="AU114" s="85"/>
      <c r="AV114" s="85"/>
      <c r="AW114" s="85">
        <f>AW112-AW110</f>
        <v>-342792</v>
      </c>
      <c r="AX114" s="85"/>
      <c r="AY114" s="85"/>
      <c r="AZ114" s="85"/>
      <c r="BA114" s="85">
        <f>BA112-BA110</f>
        <v>-380880</v>
      </c>
      <c r="BB114" s="85"/>
      <c r="BC114" s="85"/>
      <c r="BD114" s="85"/>
    </row>
    <row r="115" spans="2:56" ht="18.75" customHeight="1">
      <c r="B115" s="56"/>
      <c r="C115" s="57"/>
      <c r="D115" s="5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58"/>
    </row>
    <row r="116" spans="2:56" ht="18.75" customHeight="1">
      <c r="B116" s="54"/>
      <c r="C116" s="27"/>
      <c r="D116" s="2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58"/>
    </row>
    <row r="117" spans="2:56" ht="18.75" customHeight="1">
      <c r="B117" s="54"/>
      <c r="C117" s="27"/>
      <c r="D117" s="2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58"/>
    </row>
    <row r="118" spans="2:56" ht="18.75" customHeight="1">
      <c r="B118" s="54"/>
      <c r="C118" s="27"/>
      <c r="D118" s="27"/>
      <c r="E118" s="13"/>
      <c r="F118" s="13"/>
      <c r="G118" s="13"/>
      <c r="H118" s="13"/>
      <c r="I118" s="13"/>
      <c r="J118" s="13"/>
      <c r="K118" s="13"/>
      <c r="L118" s="44" t="s">
        <v>94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58"/>
    </row>
    <row r="119" spans="2:56" ht="18.75" customHeight="1">
      <c r="B119" s="82"/>
      <c r="C119" s="82"/>
      <c r="D119" s="82" t="str">
        <f>B110</f>
        <v>400Wクラス</v>
      </c>
      <c r="E119" s="82"/>
      <c r="F119" s="82"/>
      <c r="G119" s="82" t="str">
        <f>B112</f>
        <v>HK-1Plus</v>
      </c>
      <c r="H119" s="82"/>
      <c r="I119" s="82"/>
      <c r="J119" s="83" t="s">
        <v>33</v>
      </c>
      <c r="K119" s="83"/>
      <c r="L119" s="8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58"/>
    </row>
    <row r="120" spans="2:56" ht="18.75" customHeight="1">
      <c r="B120" s="84" t="s">
        <v>88</v>
      </c>
      <c r="C120" s="84"/>
      <c r="D120" s="87">
        <f>AL12*AL10</f>
        <v>166</v>
      </c>
      <c r="E120" s="87"/>
      <c r="F120" s="87"/>
      <c r="G120" s="82">
        <f>AS12*AS10</f>
        <v>28</v>
      </c>
      <c r="H120" s="82"/>
      <c r="I120" s="82"/>
      <c r="J120" s="83">
        <f>G120-D120</f>
        <v>-138</v>
      </c>
      <c r="K120" s="83"/>
      <c r="L120" s="8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58"/>
    </row>
    <row r="121" spans="2:56" ht="18.75" customHeight="1">
      <c r="B121" s="84" t="s">
        <v>89</v>
      </c>
      <c r="C121" s="84"/>
      <c r="D121" s="82">
        <f>D120*AL11</f>
        <v>3818</v>
      </c>
      <c r="E121" s="82"/>
      <c r="F121" s="82"/>
      <c r="G121" s="82">
        <f>G120*AS11</f>
        <v>644</v>
      </c>
      <c r="H121" s="82"/>
      <c r="I121" s="82"/>
      <c r="J121" s="83">
        <f>G121-D121</f>
        <v>-3174</v>
      </c>
      <c r="K121" s="83"/>
      <c r="L121" s="8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58"/>
    </row>
    <row r="122" spans="2:56" ht="18.75" customHeight="1">
      <c r="B122" s="84" t="s">
        <v>90</v>
      </c>
      <c r="C122" s="84"/>
      <c r="D122" s="82">
        <f>D121*12</f>
        <v>45816</v>
      </c>
      <c r="E122" s="82"/>
      <c r="F122" s="82"/>
      <c r="G122" s="82">
        <f>G121*12</f>
        <v>7728</v>
      </c>
      <c r="H122" s="82"/>
      <c r="I122" s="82"/>
      <c r="J122" s="83">
        <f>G122-D122</f>
        <v>-38088</v>
      </c>
      <c r="K122" s="83"/>
      <c r="L122" s="8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58"/>
    </row>
    <row r="123" spans="2:56" ht="18.75" customHeight="1">
      <c r="B123" s="84" t="s">
        <v>23</v>
      </c>
      <c r="C123" s="84"/>
      <c r="D123" s="82">
        <f>D122*5</f>
        <v>229080</v>
      </c>
      <c r="E123" s="82"/>
      <c r="F123" s="82"/>
      <c r="G123" s="82">
        <f>G122*5</f>
        <v>38640</v>
      </c>
      <c r="H123" s="82"/>
      <c r="I123" s="82"/>
      <c r="J123" s="83">
        <f>G123-D123</f>
        <v>-190440</v>
      </c>
      <c r="K123" s="83"/>
      <c r="L123" s="8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58"/>
    </row>
    <row r="124" spans="2:56" ht="18.75" customHeight="1">
      <c r="B124" s="84" t="s">
        <v>24</v>
      </c>
      <c r="C124" s="84"/>
      <c r="D124" s="82">
        <f>D122*10</f>
        <v>458160</v>
      </c>
      <c r="E124" s="82"/>
      <c r="F124" s="82"/>
      <c r="G124" s="82">
        <f>G122*10</f>
        <v>77280</v>
      </c>
      <c r="H124" s="82"/>
      <c r="I124" s="82"/>
      <c r="J124" s="83">
        <f>G124-D124</f>
        <v>-380880</v>
      </c>
      <c r="K124" s="83"/>
      <c r="L124" s="8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58"/>
    </row>
    <row r="125" spans="2:56" ht="18.75" customHeight="1">
      <c r="B125" s="5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58"/>
    </row>
    <row r="126" spans="2:56" ht="18.75" customHeight="1">
      <c r="B126" s="5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58"/>
    </row>
    <row r="127" spans="2:56" ht="18.75" customHeight="1">
      <c r="B127" s="5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58"/>
    </row>
    <row r="128" spans="2:56" ht="18.75" customHeight="1" thickBot="1"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2"/>
    </row>
    <row r="129" ht="13.5" thickTop="1"/>
  </sheetData>
  <sheetProtection/>
  <mergeCells count="563">
    <mergeCell ref="B7:L7"/>
    <mergeCell ref="M7:W7"/>
    <mergeCell ref="Y7:AK7"/>
    <mergeCell ref="AL7:AR7"/>
    <mergeCell ref="AS7:AY7"/>
    <mergeCell ref="AZ7:BD7"/>
    <mergeCell ref="B2:BD3"/>
    <mergeCell ref="AX4:BC4"/>
    <mergeCell ref="B5:W5"/>
    <mergeCell ref="Y5:BD5"/>
    <mergeCell ref="B6:L6"/>
    <mergeCell ref="M6:W6"/>
    <mergeCell ref="Y6:AK6"/>
    <mergeCell ref="AL6:AR6"/>
    <mergeCell ref="AS6:AY6"/>
    <mergeCell ref="AZ6:BD6"/>
    <mergeCell ref="AX8:AY8"/>
    <mergeCell ref="AZ8:BD8"/>
    <mergeCell ref="B9:L9"/>
    <mergeCell ref="M9:N9"/>
    <mergeCell ref="O9:P9"/>
    <mergeCell ref="Q9:R9"/>
    <mergeCell ref="S9:T9"/>
    <mergeCell ref="U9:W9"/>
    <mergeCell ref="Y9:AK9"/>
    <mergeCell ref="AL9:AP9"/>
    <mergeCell ref="B8:L8"/>
    <mergeCell ref="M8:W8"/>
    <mergeCell ref="Y8:AK8"/>
    <mergeCell ref="AL8:AP8"/>
    <mergeCell ref="AQ8:AR8"/>
    <mergeCell ref="AS8:AW8"/>
    <mergeCell ref="AQ9:AR9"/>
    <mergeCell ref="AS9:AW9"/>
    <mergeCell ref="AX9:AY9"/>
    <mergeCell ref="AZ9:BD9"/>
    <mergeCell ref="AX10:AY10"/>
    <mergeCell ref="AZ10:BD10"/>
    <mergeCell ref="AQ10:AR10"/>
    <mergeCell ref="AS10:AW10"/>
    <mergeCell ref="B11:L11"/>
    <mergeCell ref="M11:T11"/>
    <mergeCell ref="U11:W11"/>
    <mergeCell ref="Y11:AK11"/>
    <mergeCell ref="AL11:AP11"/>
    <mergeCell ref="AQ11:AR11"/>
    <mergeCell ref="AS11:AW11"/>
    <mergeCell ref="AX11:AY11"/>
    <mergeCell ref="AZ11:BD11"/>
    <mergeCell ref="B10:L10"/>
    <mergeCell ref="M10:P10"/>
    <mergeCell ref="Q10:R10"/>
    <mergeCell ref="S10:T10"/>
    <mergeCell ref="U10:W10"/>
    <mergeCell ref="Y10:AK10"/>
    <mergeCell ref="AL10:AP10"/>
    <mergeCell ref="R12:S12"/>
    <mergeCell ref="T12:U12"/>
    <mergeCell ref="Y12:AK12"/>
    <mergeCell ref="AL12:AR12"/>
    <mergeCell ref="AS12:AY12"/>
    <mergeCell ref="AZ12:BD12"/>
    <mergeCell ref="B13:W13"/>
    <mergeCell ref="Y13:AK13"/>
    <mergeCell ref="AL13:AR13"/>
    <mergeCell ref="AS13:AY13"/>
    <mergeCell ref="AZ13:BD13"/>
    <mergeCell ref="B14:E14"/>
    <mergeCell ref="F14:H14"/>
    <mergeCell ref="J14:L14"/>
    <mergeCell ref="M14:P14"/>
    <mergeCell ref="Q14:S14"/>
    <mergeCell ref="U14:W14"/>
    <mergeCell ref="Y14:AK14"/>
    <mergeCell ref="AL14:AR14"/>
    <mergeCell ref="AS14:AY14"/>
    <mergeCell ref="AZ14:BD14"/>
    <mergeCell ref="B15:E15"/>
    <mergeCell ref="F15:H15"/>
    <mergeCell ref="J15:L15"/>
    <mergeCell ref="M15:P15"/>
    <mergeCell ref="Q15:S15"/>
    <mergeCell ref="AZ15:BD15"/>
    <mergeCell ref="B16:E16"/>
    <mergeCell ref="F16:H16"/>
    <mergeCell ref="J16:L16"/>
    <mergeCell ref="M16:P16"/>
    <mergeCell ref="Q16:S16"/>
    <mergeCell ref="U16:W16"/>
    <mergeCell ref="Y16:AK16"/>
    <mergeCell ref="AL16:AP16"/>
    <mergeCell ref="AQ16:AR16"/>
    <mergeCell ref="U15:W15"/>
    <mergeCell ref="Y15:AK15"/>
    <mergeCell ref="AL15:AP15"/>
    <mergeCell ref="AQ15:AR15"/>
    <mergeCell ref="AS15:AW15"/>
    <mergeCell ref="AX15:AY15"/>
    <mergeCell ref="AS16:AW16"/>
    <mergeCell ref="AX16:AY16"/>
    <mergeCell ref="AZ16:BD16"/>
    <mergeCell ref="B17:E17"/>
    <mergeCell ref="F17:H17"/>
    <mergeCell ref="J17:L17"/>
    <mergeCell ref="M17:P17"/>
    <mergeCell ref="Q17:S17"/>
    <mergeCell ref="U17:W17"/>
    <mergeCell ref="Y17:AK17"/>
    <mergeCell ref="AL17:AP17"/>
    <mergeCell ref="AQ17:AR17"/>
    <mergeCell ref="AS17:AW17"/>
    <mergeCell ref="AX17:AY17"/>
    <mergeCell ref="AZ17:BD17"/>
    <mergeCell ref="B18:E18"/>
    <mergeCell ref="F18:H18"/>
    <mergeCell ref="J18:L18"/>
    <mergeCell ref="M18:P18"/>
    <mergeCell ref="Q18:S18"/>
    <mergeCell ref="AZ18:BD18"/>
    <mergeCell ref="B20:BD20"/>
    <mergeCell ref="B21:P22"/>
    <mergeCell ref="Q21:T21"/>
    <mergeCell ref="U21:X21"/>
    <mergeCell ref="Y21:AB21"/>
    <mergeCell ref="AC21:AF21"/>
    <mergeCell ref="AG21:AJ21"/>
    <mergeCell ref="AK21:AN21"/>
    <mergeCell ref="AO21:AR21"/>
    <mergeCell ref="U18:W18"/>
    <mergeCell ref="Y18:AK18"/>
    <mergeCell ref="AL18:AP18"/>
    <mergeCell ref="AQ18:AR18"/>
    <mergeCell ref="AS18:AW18"/>
    <mergeCell ref="AX18:AY18"/>
    <mergeCell ref="AS21:AV21"/>
    <mergeCell ref="AW21:AZ21"/>
    <mergeCell ref="BA21:BD21"/>
    <mergeCell ref="Q22:T22"/>
    <mergeCell ref="U22:X22"/>
    <mergeCell ref="Y22:AB22"/>
    <mergeCell ref="AC22:AF22"/>
    <mergeCell ref="AG22:AJ22"/>
    <mergeCell ref="AK22:AN22"/>
    <mergeCell ref="AO22:AR22"/>
    <mergeCell ref="E25:P25"/>
    <mergeCell ref="Q25:T25"/>
    <mergeCell ref="U25:X25"/>
    <mergeCell ref="Y25:AB25"/>
    <mergeCell ref="AC25:AF25"/>
    <mergeCell ref="AS22:AV22"/>
    <mergeCell ref="AK25:AN25"/>
    <mergeCell ref="AO25:AR25"/>
    <mergeCell ref="AS25:AV25"/>
    <mergeCell ref="AW22:AZ22"/>
    <mergeCell ref="BA22:BD22"/>
    <mergeCell ref="B24:D29"/>
    <mergeCell ref="E24:P24"/>
    <mergeCell ref="Q24:T24"/>
    <mergeCell ref="U24:X24"/>
    <mergeCell ref="Y24:AB24"/>
    <mergeCell ref="AC24:AF24"/>
    <mergeCell ref="AG24:AJ24"/>
    <mergeCell ref="AG25:AJ25"/>
    <mergeCell ref="AW25:AZ25"/>
    <mergeCell ref="BA25:BD25"/>
    <mergeCell ref="AK24:AN24"/>
    <mergeCell ref="AO24:AR24"/>
    <mergeCell ref="AS24:AV24"/>
    <mergeCell ref="AW24:AZ24"/>
    <mergeCell ref="BA24:BD24"/>
    <mergeCell ref="E27:P27"/>
    <mergeCell ref="Q27:T27"/>
    <mergeCell ref="U27:X27"/>
    <mergeCell ref="Y27:AB27"/>
    <mergeCell ref="AC27:AF27"/>
    <mergeCell ref="E26:P26"/>
    <mergeCell ref="Q26:T26"/>
    <mergeCell ref="U26:X26"/>
    <mergeCell ref="Y26:AB26"/>
    <mergeCell ref="AC26:AF26"/>
    <mergeCell ref="AG27:AJ27"/>
    <mergeCell ref="AK27:AN27"/>
    <mergeCell ref="AG26:AJ26"/>
    <mergeCell ref="AO27:AR27"/>
    <mergeCell ref="AS27:AV27"/>
    <mergeCell ref="AW27:AZ27"/>
    <mergeCell ref="BA27:BD27"/>
    <mergeCell ref="AK26:AN26"/>
    <mergeCell ref="AO26:AR26"/>
    <mergeCell ref="AS26:AV26"/>
    <mergeCell ref="AW26:AZ26"/>
    <mergeCell ref="BA26:BD26"/>
    <mergeCell ref="E29:P29"/>
    <mergeCell ref="Q29:T29"/>
    <mergeCell ref="U29:X29"/>
    <mergeCell ref="Y29:AB29"/>
    <mergeCell ref="AC29:AF29"/>
    <mergeCell ref="E28:P28"/>
    <mergeCell ref="Q28:T28"/>
    <mergeCell ref="U28:X28"/>
    <mergeCell ref="Y28:AB28"/>
    <mergeCell ref="AC28:AF28"/>
    <mergeCell ref="AG31:AJ31"/>
    <mergeCell ref="AK31:AN31"/>
    <mergeCell ref="AG29:AJ29"/>
    <mergeCell ref="AK29:AN29"/>
    <mergeCell ref="AO29:AR29"/>
    <mergeCell ref="AS29:AV29"/>
    <mergeCell ref="AW29:AZ29"/>
    <mergeCell ref="BA29:BD29"/>
    <mergeCell ref="AK28:AN28"/>
    <mergeCell ref="AO28:AR28"/>
    <mergeCell ref="AS28:AV28"/>
    <mergeCell ref="AW28:AZ28"/>
    <mergeCell ref="BA28:BD28"/>
    <mergeCell ref="AG28:AJ28"/>
    <mergeCell ref="Q32:T32"/>
    <mergeCell ref="U32:X32"/>
    <mergeCell ref="Y32:AB32"/>
    <mergeCell ref="BA32:BD32"/>
    <mergeCell ref="E33:P33"/>
    <mergeCell ref="Q33:T33"/>
    <mergeCell ref="U33:X33"/>
    <mergeCell ref="Y33:AB33"/>
    <mergeCell ref="AC33:AF33"/>
    <mergeCell ref="AG33:AJ33"/>
    <mergeCell ref="AK33:AN33"/>
    <mergeCell ref="AC32:AF32"/>
    <mergeCell ref="AG32:AJ32"/>
    <mergeCell ref="AK32:AN32"/>
    <mergeCell ref="AO32:AR32"/>
    <mergeCell ref="AS32:AV32"/>
    <mergeCell ref="AW32:AZ32"/>
    <mergeCell ref="AW33:AZ33"/>
    <mergeCell ref="AO31:AR31"/>
    <mergeCell ref="AS31:AV31"/>
    <mergeCell ref="AW31:AZ31"/>
    <mergeCell ref="BA33:BD33"/>
    <mergeCell ref="E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AO33:AR33"/>
    <mergeCell ref="AS33:AV33"/>
    <mergeCell ref="BA31:BD31"/>
    <mergeCell ref="E31:P31"/>
    <mergeCell ref="Q31:T31"/>
    <mergeCell ref="U31:X31"/>
    <mergeCell ref="Y31:AB31"/>
    <mergeCell ref="AC31:AF31"/>
    <mergeCell ref="E32:P32"/>
    <mergeCell ref="AS36:AV36"/>
    <mergeCell ref="AW36:AZ36"/>
    <mergeCell ref="BA36:BD36"/>
    <mergeCell ref="B38:BD38"/>
    <mergeCell ref="AO35:AR35"/>
    <mergeCell ref="AS35:AV35"/>
    <mergeCell ref="AW35:AZ35"/>
    <mergeCell ref="BA35:BD35"/>
    <mergeCell ref="E36:P36"/>
    <mergeCell ref="Q36:T36"/>
    <mergeCell ref="U36:X36"/>
    <mergeCell ref="Y36:AB36"/>
    <mergeCell ref="AC36:AF36"/>
    <mergeCell ref="AG36:AJ36"/>
    <mergeCell ref="E35:P35"/>
    <mergeCell ref="Q35:T35"/>
    <mergeCell ref="U35:X35"/>
    <mergeCell ref="Y35:AB35"/>
    <mergeCell ref="AC35:AF35"/>
    <mergeCell ref="AG35:AJ35"/>
    <mergeCell ref="AK35:AN35"/>
    <mergeCell ref="AK36:AN36"/>
    <mergeCell ref="AO36:AR36"/>
    <mergeCell ref="B31:D36"/>
    <mergeCell ref="AK39:AN39"/>
    <mergeCell ref="AO39:AR39"/>
    <mergeCell ref="Y39:AB39"/>
    <mergeCell ref="AC39:AF39"/>
    <mergeCell ref="AG39:AJ39"/>
    <mergeCell ref="AS39:AV39"/>
    <mergeCell ref="AW39:AZ39"/>
    <mergeCell ref="BA39:BD39"/>
    <mergeCell ref="Q40:T40"/>
    <mergeCell ref="U40:X40"/>
    <mergeCell ref="Y40:AB40"/>
    <mergeCell ref="AC40:AF40"/>
    <mergeCell ref="AG40:AJ40"/>
    <mergeCell ref="Q39:T39"/>
    <mergeCell ref="U39:X39"/>
    <mergeCell ref="AK40:AN40"/>
    <mergeCell ref="AO40:AR40"/>
    <mergeCell ref="AS40:AV40"/>
    <mergeCell ref="AW40:AZ40"/>
    <mergeCell ref="BA40:BD40"/>
    <mergeCell ref="B41:P41"/>
    <mergeCell ref="Q41:T42"/>
    <mergeCell ref="U41:X42"/>
    <mergeCell ref="Y41:AB42"/>
    <mergeCell ref="AC41:AF42"/>
    <mergeCell ref="B39:P40"/>
    <mergeCell ref="B42:G42"/>
    <mergeCell ref="H42:J42"/>
    <mergeCell ref="K42:P42"/>
    <mergeCell ref="B56:BD56"/>
    <mergeCell ref="B57:P58"/>
    <mergeCell ref="Q57:T57"/>
    <mergeCell ref="U57:X57"/>
    <mergeCell ref="Y57:AB57"/>
    <mergeCell ref="AC57:AF57"/>
    <mergeCell ref="AG57:AJ57"/>
    <mergeCell ref="AG41:AJ42"/>
    <mergeCell ref="AK41:AN42"/>
    <mergeCell ref="AO41:AR42"/>
    <mergeCell ref="AS41:AV42"/>
    <mergeCell ref="AW41:AZ42"/>
    <mergeCell ref="BA41:BD42"/>
    <mergeCell ref="AK57:AN57"/>
    <mergeCell ref="AO57:AR57"/>
    <mergeCell ref="AS57:AV57"/>
    <mergeCell ref="AW57:AZ57"/>
    <mergeCell ref="BA57:BD57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B60:G60"/>
    <mergeCell ref="H60:P60"/>
    <mergeCell ref="Q60:T60"/>
    <mergeCell ref="U60:X60"/>
    <mergeCell ref="Y60:AB60"/>
    <mergeCell ref="BA60:BD60"/>
    <mergeCell ref="AC60:AF60"/>
    <mergeCell ref="AG60:AJ60"/>
    <mergeCell ref="AK60:AN60"/>
    <mergeCell ref="AO60:AR60"/>
    <mergeCell ref="AS60:AV60"/>
    <mergeCell ref="AW60:AZ60"/>
    <mergeCell ref="AW62:AZ62"/>
    <mergeCell ref="BA62:BD62"/>
    <mergeCell ref="B64:P64"/>
    <mergeCell ref="Q64:T64"/>
    <mergeCell ref="U64:X64"/>
    <mergeCell ref="Y64:AB64"/>
    <mergeCell ref="AC64:AF64"/>
    <mergeCell ref="AG64:AJ64"/>
    <mergeCell ref="AK64:AN64"/>
    <mergeCell ref="AS64:AV64"/>
    <mergeCell ref="AW64:AZ64"/>
    <mergeCell ref="BA64:BD64"/>
    <mergeCell ref="B62:G62"/>
    <mergeCell ref="H62:P62"/>
    <mergeCell ref="Q62:T62"/>
    <mergeCell ref="U62:X62"/>
    <mergeCell ref="Y62:AB62"/>
    <mergeCell ref="AC62:AF62"/>
    <mergeCell ref="AS62:AV62"/>
    <mergeCell ref="AG62:AJ62"/>
    <mergeCell ref="AK62:AN62"/>
    <mergeCell ref="AO62:AR62"/>
    <mergeCell ref="B65:D65"/>
    <mergeCell ref="B69:C69"/>
    <mergeCell ref="D69:F69"/>
    <mergeCell ref="G69:I69"/>
    <mergeCell ref="J69:L69"/>
    <mergeCell ref="AO64:AR64"/>
    <mergeCell ref="B72:C72"/>
    <mergeCell ref="D72:F72"/>
    <mergeCell ref="G72:I72"/>
    <mergeCell ref="J72:L72"/>
    <mergeCell ref="B73:C73"/>
    <mergeCell ref="D73:F73"/>
    <mergeCell ref="G73:I73"/>
    <mergeCell ref="J73:L73"/>
    <mergeCell ref="B70:C70"/>
    <mergeCell ref="D70:F70"/>
    <mergeCell ref="G70:I70"/>
    <mergeCell ref="J70:L70"/>
    <mergeCell ref="B71:C71"/>
    <mergeCell ref="D71:F71"/>
    <mergeCell ref="G71:I71"/>
    <mergeCell ref="J71:L71"/>
    <mergeCell ref="AG82:AJ82"/>
    <mergeCell ref="AK82:AN82"/>
    <mergeCell ref="AO82:AR82"/>
    <mergeCell ref="AS82:AV82"/>
    <mergeCell ref="AW82:AZ82"/>
    <mergeCell ref="BA82:BD82"/>
    <mergeCell ref="B74:C74"/>
    <mergeCell ref="D74:F74"/>
    <mergeCell ref="G74:I74"/>
    <mergeCell ref="J74:L74"/>
    <mergeCell ref="B81:BD81"/>
    <mergeCell ref="B82:P83"/>
    <mergeCell ref="Q82:T82"/>
    <mergeCell ref="U82:X82"/>
    <mergeCell ref="Y82:AB82"/>
    <mergeCell ref="AC82:AF82"/>
    <mergeCell ref="B85:G85"/>
    <mergeCell ref="H85:P85"/>
    <mergeCell ref="Q85:T85"/>
    <mergeCell ref="U85:X85"/>
    <mergeCell ref="Y85:AB85"/>
    <mergeCell ref="AC85:AF85"/>
    <mergeCell ref="Q83:T83"/>
    <mergeCell ref="U83:X83"/>
    <mergeCell ref="Y83:AB83"/>
    <mergeCell ref="AC83:AF83"/>
    <mergeCell ref="AG85:AJ85"/>
    <mergeCell ref="AK85:AN85"/>
    <mergeCell ref="AG83:AJ83"/>
    <mergeCell ref="AK83:AN83"/>
    <mergeCell ref="AO85:AR85"/>
    <mergeCell ref="AS85:AV85"/>
    <mergeCell ref="AW85:AZ85"/>
    <mergeCell ref="BA85:BD85"/>
    <mergeCell ref="AO83:AR83"/>
    <mergeCell ref="AS83:AV83"/>
    <mergeCell ref="AW83:AZ83"/>
    <mergeCell ref="BA83:BD83"/>
    <mergeCell ref="AG87:AJ87"/>
    <mergeCell ref="AK87:AN87"/>
    <mergeCell ref="AO87:AR87"/>
    <mergeCell ref="AS87:AV87"/>
    <mergeCell ref="AW87:AZ87"/>
    <mergeCell ref="BA87:BD87"/>
    <mergeCell ref="B87:G87"/>
    <mergeCell ref="H87:P87"/>
    <mergeCell ref="Q87:T87"/>
    <mergeCell ref="U87:X87"/>
    <mergeCell ref="Y87:AB87"/>
    <mergeCell ref="AC87:AF87"/>
    <mergeCell ref="AO89:AR89"/>
    <mergeCell ref="AS89:AV89"/>
    <mergeCell ref="AW89:AZ89"/>
    <mergeCell ref="BA89:BD89"/>
    <mergeCell ref="B90:D90"/>
    <mergeCell ref="B89:P89"/>
    <mergeCell ref="Q89:T89"/>
    <mergeCell ref="U89:X89"/>
    <mergeCell ref="Y89:AB89"/>
    <mergeCell ref="AC89:AF89"/>
    <mergeCell ref="AG89:AJ89"/>
    <mergeCell ref="B94:C94"/>
    <mergeCell ref="D94:F94"/>
    <mergeCell ref="G94:I94"/>
    <mergeCell ref="J94:L94"/>
    <mergeCell ref="B95:C95"/>
    <mergeCell ref="D95:F95"/>
    <mergeCell ref="G95:I95"/>
    <mergeCell ref="J95:L95"/>
    <mergeCell ref="AK89:AN89"/>
    <mergeCell ref="B98:C98"/>
    <mergeCell ref="D98:F98"/>
    <mergeCell ref="G98:I98"/>
    <mergeCell ref="J98:L98"/>
    <mergeCell ref="B99:C99"/>
    <mergeCell ref="D99:F99"/>
    <mergeCell ref="G99:I99"/>
    <mergeCell ref="J99:L99"/>
    <mergeCell ref="B96:C96"/>
    <mergeCell ref="D96:F96"/>
    <mergeCell ref="G96:I96"/>
    <mergeCell ref="J96:L96"/>
    <mergeCell ref="B97:C97"/>
    <mergeCell ref="D97:F97"/>
    <mergeCell ref="G97:I97"/>
    <mergeCell ref="J97:L97"/>
    <mergeCell ref="AO112:AR112"/>
    <mergeCell ref="AS112:AV112"/>
    <mergeCell ref="AW112:AZ112"/>
    <mergeCell ref="BA112:BD112"/>
    <mergeCell ref="AO110:AR110"/>
    <mergeCell ref="AS110:AV110"/>
    <mergeCell ref="B106:BD106"/>
    <mergeCell ref="B107:P108"/>
    <mergeCell ref="Q107:T107"/>
    <mergeCell ref="U107:X107"/>
    <mergeCell ref="Y107:AB107"/>
    <mergeCell ref="AC107:AF107"/>
    <mergeCell ref="AG107:AJ107"/>
    <mergeCell ref="AK107:AN107"/>
    <mergeCell ref="AO107:AR107"/>
    <mergeCell ref="AS107:AV107"/>
    <mergeCell ref="AW107:AZ107"/>
    <mergeCell ref="BA107:BD107"/>
    <mergeCell ref="Q108:T108"/>
    <mergeCell ref="U108:X108"/>
    <mergeCell ref="Y108:AB108"/>
    <mergeCell ref="AC108:AF108"/>
    <mergeCell ref="AG108:AJ108"/>
    <mergeCell ref="AK108:AN108"/>
    <mergeCell ref="AW108:AZ108"/>
    <mergeCell ref="BA108:BD108"/>
    <mergeCell ref="B110:G110"/>
    <mergeCell ref="H110:P110"/>
    <mergeCell ref="Q110:T110"/>
    <mergeCell ref="U110:X110"/>
    <mergeCell ref="Y110:AB110"/>
    <mergeCell ref="AC110:AF110"/>
    <mergeCell ref="AG110:AJ110"/>
    <mergeCell ref="AK110:AN110"/>
    <mergeCell ref="AO108:AR108"/>
    <mergeCell ref="AS108:AV108"/>
    <mergeCell ref="AW110:AZ110"/>
    <mergeCell ref="BA110:BD110"/>
    <mergeCell ref="AO114:AR114"/>
    <mergeCell ref="AS114:AV114"/>
    <mergeCell ref="AW114:AZ114"/>
    <mergeCell ref="BA114:BD114"/>
    <mergeCell ref="B119:C119"/>
    <mergeCell ref="D119:F119"/>
    <mergeCell ref="G119:I119"/>
    <mergeCell ref="J119:L119"/>
    <mergeCell ref="B114:P114"/>
    <mergeCell ref="Q114:T114"/>
    <mergeCell ref="B112:G112"/>
    <mergeCell ref="H112:P112"/>
    <mergeCell ref="Q112:T112"/>
    <mergeCell ref="U112:X112"/>
    <mergeCell ref="Y112:AB112"/>
    <mergeCell ref="AC112:AF112"/>
    <mergeCell ref="AG112:AJ112"/>
    <mergeCell ref="AK112:AN112"/>
    <mergeCell ref="B120:C120"/>
    <mergeCell ref="D120:F120"/>
    <mergeCell ref="G120:I120"/>
    <mergeCell ref="J120:L120"/>
    <mergeCell ref="U114:X114"/>
    <mergeCell ref="Y114:AB114"/>
    <mergeCell ref="AC114:AF114"/>
    <mergeCell ref="AG114:AJ114"/>
    <mergeCell ref="G121:I121"/>
    <mergeCell ref="J121:L121"/>
    <mergeCell ref="AK114:AN114"/>
    <mergeCell ref="B124:C124"/>
    <mergeCell ref="D124:F124"/>
    <mergeCell ref="G124:I124"/>
    <mergeCell ref="J124:L124"/>
    <mergeCell ref="B122:C122"/>
    <mergeCell ref="Z4:AR4"/>
    <mergeCell ref="D122:F122"/>
    <mergeCell ref="G122:I122"/>
    <mergeCell ref="J122:L122"/>
    <mergeCell ref="B123:C123"/>
    <mergeCell ref="D123:F123"/>
    <mergeCell ref="G123:I123"/>
    <mergeCell ref="J123:L123"/>
    <mergeCell ref="B121:C121"/>
    <mergeCell ref="D121:F1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0" r:id="rId2"/>
  <rowBreaks count="2" manualBreakCount="2">
    <brk id="37" max="255" man="1"/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3"/>
  <sheetViews>
    <sheetView tabSelected="1" zoomScaleSheetLayoutView="100" zoomScalePageLayoutView="0" workbookViewId="0" topLeftCell="A16">
      <selection activeCell="K28" sqref="K28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11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50399.99999999999</v>
      </c>
      <c r="R4" s="327"/>
      <c r="S4" s="327"/>
      <c r="T4" s="347">
        <v>0.018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-12873.000000000007</v>
      </c>
      <c r="AB4" s="327"/>
      <c r="AC4" s="327"/>
      <c r="AD4" s="327">
        <f>シミュレーションデータ!AZ14+Q4*12</f>
        <v>-163045.80000000016</v>
      </c>
      <c r="AE4" s="327"/>
      <c r="AF4" s="327"/>
      <c r="AG4" s="327">
        <f>SUM(AD4*5-G18)</f>
        <v>-1075229.000000001</v>
      </c>
      <c r="AH4" s="327"/>
      <c r="AI4" s="328"/>
      <c r="AJ4" s="351" t="s">
        <v>111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370" t="s">
        <v>18</v>
      </c>
      <c r="K7" s="371"/>
      <c r="L7" s="372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370" t="s">
        <v>21</v>
      </c>
      <c r="X7" s="371"/>
      <c r="Y7" s="372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340" t="s">
        <v>22</v>
      </c>
      <c r="AJ7" s="341"/>
      <c r="AK7" s="341"/>
      <c r="AL7" s="341"/>
      <c r="AM7" s="342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367">
        <f>SUM(D8+G8)</f>
        <v>923640.6</v>
      </c>
      <c r="K8" s="368"/>
      <c r="L8" s="369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>SUM($Q$4*12)</f>
        <v>604799.9999999999</v>
      </c>
      <c r="U8" s="373"/>
      <c r="V8" s="383"/>
      <c r="W8" s="367">
        <f>SUM(Q8+T8)</f>
        <v>760594.7999999998</v>
      </c>
      <c r="X8" s="368"/>
      <c r="Y8" s="369"/>
      <c r="Z8" s="68">
        <f>SUM($W$8:Y8)</f>
        <v>760594.7999999998</v>
      </c>
      <c r="AA8" s="384">
        <f>シミュレーションデータ!Q32</f>
        <v>2760</v>
      </c>
      <c r="AB8" s="373"/>
      <c r="AC8" s="373"/>
      <c r="AD8" s="331">
        <f aca="true" t="shared" si="0" ref="AD8:AD17">SUM(J8-W8)</f>
        <v>163045.80000000016</v>
      </c>
      <c r="AE8" s="331"/>
      <c r="AF8" s="331"/>
      <c r="AG8" s="331"/>
      <c r="AH8" s="332"/>
      <c r="AI8" s="343">
        <f>SUM($AD$8:AD8)</f>
        <v>163045.80000000016</v>
      </c>
      <c r="AJ8" s="331"/>
      <c r="AK8" s="331"/>
      <c r="AL8" s="331"/>
      <c r="AM8" s="344"/>
      <c r="AN8" s="73">
        <f>AI8</f>
        <v>163045.80000000016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357">
        <f aca="true" t="shared" si="1" ref="J9:J17">SUM(D9+G9)</f>
        <v>923640.6</v>
      </c>
      <c r="K9" s="358"/>
      <c r="L9" s="359"/>
      <c r="M9" s="67">
        <f>SUM($J$8:L9)</f>
        <v>1847281.2</v>
      </c>
      <c r="N9" s="360">
        <f aca="true" t="shared" si="2" ref="N9:N17">$N$8*$B9</f>
        <v>5520</v>
      </c>
      <c r="O9" s="325"/>
      <c r="P9" s="325"/>
      <c r="Q9" s="325">
        <f aca="true" t="shared" si="3" ref="Q9:Q17">$Q$8</f>
        <v>155794.8</v>
      </c>
      <c r="R9" s="325"/>
      <c r="S9" s="325"/>
      <c r="T9" s="325">
        <f>SUM($Q$4*12)</f>
        <v>604799.9999999999</v>
      </c>
      <c r="U9" s="325"/>
      <c r="V9" s="326"/>
      <c r="W9" s="357">
        <f aca="true" t="shared" si="4" ref="W9:W17">SUM(Q9+T9)</f>
        <v>760594.7999999998</v>
      </c>
      <c r="X9" s="358"/>
      <c r="Y9" s="359"/>
      <c r="Z9" s="69">
        <f>SUM($W$8:Y9)</f>
        <v>1521189.5999999996</v>
      </c>
      <c r="AA9" s="360">
        <f aca="true" t="shared" si="5" ref="AA9:AA17">$AA$8*$B9</f>
        <v>5520</v>
      </c>
      <c r="AB9" s="325"/>
      <c r="AC9" s="325"/>
      <c r="AD9" s="333">
        <f t="shared" si="0"/>
        <v>163045.80000000016</v>
      </c>
      <c r="AE9" s="333"/>
      <c r="AF9" s="333"/>
      <c r="AG9" s="333"/>
      <c r="AH9" s="334"/>
      <c r="AI9" s="335">
        <f>SUM($AD$8:AD9)</f>
        <v>326091.6000000003</v>
      </c>
      <c r="AJ9" s="336"/>
      <c r="AK9" s="336"/>
      <c r="AL9" s="336"/>
      <c r="AM9" s="337"/>
      <c r="AN9" s="73">
        <f aca="true" t="shared" si="6" ref="AN9:AN17">AI9</f>
        <v>326091.6000000003</v>
      </c>
    </row>
    <row r="10" spans="2:40" ht="13.5" customHeight="1">
      <c r="B10" s="379">
        <v>3</v>
      </c>
      <c r="C10" s="380"/>
      <c r="D10" s="325">
        <f aca="true" t="shared" si="7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357">
        <f t="shared" si="1"/>
        <v>923640.6</v>
      </c>
      <c r="K10" s="358"/>
      <c r="L10" s="359"/>
      <c r="M10" s="67">
        <f>SUM($J$8:L10)</f>
        <v>2770921.8</v>
      </c>
      <c r="N10" s="360">
        <f t="shared" si="2"/>
        <v>8280</v>
      </c>
      <c r="O10" s="325"/>
      <c r="P10" s="325"/>
      <c r="Q10" s="325">
        <f t="shared" si="3"/>
        <v>155794.8</v>
      </c>
      <c r="R10" s="325"/>
      <c r="S10" s="325"/>
      <c r="T10" s="325">
        <f>SUM($Q$4*12)</f>
        <v>604799.9999999999</v>
      </c>
      <c r="U10" s="325"/>
      <c r="V10" s="326"/>
      <c r="W10" s="357">
        <f t="shared" si="4"/>
        <v>760594.7999999998</v>
      </c>
      <c r="X10" s="358"/>
      <c r="Y10" s="359"/>
      <c r="Z10" s="69">
        <f>SUM($W$8:Y10)</f>
        <v>2281784.3999999994</v>
      </c>
      <c r="AA10" s="360">
        <f t="shared" si="5"/>
        <v>8280</v>
      </c>
      <c r="AB10" s="325"/>
      <c r="AC10" s="325"/>
      <c r="AD10" s="333">
        <f t="shared" si="0"/>
        <v>163045.80000000016</v>
      </c>
      <c r="AE10" s="333"/>
      <c r="AF10" s="333"/>
      <c r="AG10" s="333"/>
      <c r="AH10" s="334"/>
      <c r="AI10" s="335">
        <f>SUM($AD$8:AD10)</f>
        <v>489137.4000000005</v>
      </c>
      <c r="AJ10" s="336"/>
      <c r="AK10" s="336"/>
      <c r="AL10" s="336"/>
      <c r="AM10" s="337"/>
      <c r="AN10" s="73">
        <f t="shared" si="6"/>
        <v>489137.4000000005</v>
      </c>
    </row>
    <row r="11" spans="2:40" ht="13.5" customHeight="1">
      <c r="B11" s="379">
        <v>4</v>
      </c>
      <c r="C11" s="380"/>
      <c r="D11" s="325">
        <f t="shared" si="7"/>
        <v>923640.6</v>
      </c>
      <c r="E11" s="325"/>
      <c r="F11" s="325"/>
      <c r="G11" s="325">
        <f>シミュレーションデータ!AC27</f>
        <v>0</v>
      </c>
      <c r="H11" s="325"/>
      <c r="I11" s="326"/>
      <c r="J11" s="357">
        <f t="shared" si="1"/>
        <v>923640.6</v>
      </c>
      <c r="K11" s="358"/>
      <c r="L11" s="359"/>
      <c r="M11" s="67">
        <f>SUM($J$8:L11)</f>
        <v>3694562.4</v>
      </c>
      <c r="N11" s="360">
        <f t="shared" si="2"/>
        <v>11040</v>
      </c>
      <c r="O11" s="325"/>
      <c r="P11" s="325"/>
      <c r="Q11" s="325">
        <f t="shared" si="3"/>
        <v>155794.8</v>
      </c>
      <c r="R11" s="325"/>
      <c r="S11" s="325"/>
      <c r="T11" s="325">
        <f>SUM($Q$4*12)</f>
        <v>604799.9999999999</v>
      </c>
      <c r="U11" s="325"/>
      <c r="V11" s="326"/>
      <c r="W11" s="357">
        <f t="shared" si="4"/>
        <v>760594.7999999998</v>
      </c>
      <c r="X11" s="358"/>
      <c r="Y11" s="359"/>
      <c r="Z11" s="70">
        <f>SUM($W$8:Y11)</f>
        <v>3042379.1999999993</v>
      </c>
      <c r="AA11" s="360">
        <f t="shared" si="5"/>
        <v>11040</v>
      </c>
      <c r="AB11" s="325"/>
      <c r="AC11" s="325"/>
      <c r="AD11" s="333">
        <f t="shared" si="0"/>
        <v>163045.80000000016</v>
      </c>
      <c r="AE11" s="333"/>
      <c r="AF11" s="333"/>
      <c r="AG11" s="333"/>
      <c r="AH11" s="334"/>
      <c r="AI11" s="335">
        <f>SUM($AD$8:AD11)</f>
        <v>652183.2000000007</v>
      </c>
      <c r="AJ11" s="336"/>
      <c r="AK11" s="336"/>
      <c r="AL11" s="336"/>
      <c r="AM11" s="337"/>
      <c r="AN11" s="73">
        <f t="shared" si="6"/>
        <v>652183.2000000007</v>
      </c>
    </row>
    <row r="12" spans="2:40" ht="13.5" customHeight="1">
      <c r="B12" s="379">
        <v>5</v>
      </c>
      <c r="C12" s="380"/>
      <c r="D12" s="325">
        <f t="shared" si="7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357">
        <f t="shared" si="1"/>
        <v>1183640.6</v>
      </c>
      <c r="K12" s="358"/>
      <c r="L12" s="359"/>
      <c r="M12" s="67">
        <f>SUM($J$8:L12)</f>
        <v>4878203</v>
      </c>
      <c r="N12" s="360">
        <f t="shared" si="2"/>
        <v>13800</v>
      </c>
      <c r="O12" s="325"/>
      <c r="P12" s="325"/>
      <c r="Q12" s="325">
        <f t="shared" si="3"/>
        <v>155794.8</v>
      </c>
      <c r="R12" s="325"/>
      <c r="S12" s="325"/>
      <c r="T12" s="325">
        <f>SUM($Q$4*12)</f>
        <v>604799.9999999999</v>
      </c>
      <c r="U12" s="325"/>
      <c r="V12" s="326"/>
      <c r="W12" s="357">
        <f t="shared" si="4"/>
        <v>760594.7999999998</v>
      </c>
      <c r="X12" s="358"/>
      <c r="Y12" s="359"/>
      <c r="Z12" s="71">
        <f>SUM($W$8:Y12)</f>
        <v>3802973.999999999</v>
      </c>
      <c r="AA12" s="360">
        <f t="shared" si="5"/>
        <v>13800</v>
      </c>
      <c r="AB12" s="325"/>
      <c r="AC12" s="325"/>
      <c r="AD12" s="333">
        <f t="shared" si="0"/>
        <v>423045.8000000003</v>
      </c>
      <c r="AE12" s="333"/>
      <c r="AF12" s="333"/>
      <c r="AG12" s="333"/>
      <c r="AH12" s="334"/>
      <c r="AI12" s="335">
        <f>SUM($AD$8:AD12)</f>
        <v>1075229.000000001</v>
      </c>
      <c r="AJ12" s="336"/>
      <c r="AK12" s="336"/>
      <c r="AL12" s="336"/>
      <c r="AM12" s="337"/>
      <c r="AN12" s="73">
        <f t="shared" si="6"/>
        <v>1075229.000000001</v>
      </c>
    </row>
    <row r="13" spans="2:40" ht="13.5" customHeight="1">
      <c r="B13" s="379">
        <v>6</v>
      </c>
      <c r="C13" s="380"/>
      <c r="D13" s="325">
        <f t="shared" si="7"/>
        <v>923640.6</v>
      </c>
      <c r="E13" s="325"/>
      <c r="F13" s="325"/>
      <c r="G13" s="325">
        <f>シミュレーションデータ!AK27</f>
        <v>0</v>
      </c>
      <c r="H13" s="325"/>
      <c r="I13" s="326"/>
      <c r="J13" s="357">
        <f t="shared" si="1"/>
        <v>923640.6</v>
      </c>
      <c r="K13" s="358"/>
      <c r="L13" s="359"/>
      <c r="M13" s="67">
        <f>SUM($J$8:L13)</f>
        <v>5801843.6</v>
      </c>
      <c r="N13" s="360">
        <f t="shared" si="2"/>
        <v>16560</v>
      </c>
      <c r="O13" s="325"/>
      <c r="P13" s="325"/>
      <c r="Q13" s="325">
        <f t="shared" si="3"/>
        <v>155794.8</v>
      </c>
      <c r="R13" s="325"/>
      <c r="S13" s="325"/>
      <c r="T13" s="325">
        <f>SUM($Q$4*12/10)</f>
        <v>60479.999999999985</v>
      </c>
      <c r="U13" s="325"/>
      <c r="V13" s="326"/>
      <c r="W13" s="357">
        <f t="shared" si="4"/>
        <v>216274.8</v>
      </c>
      <c r="X13" s="358"/>
      <c r="Y13" s="359"/>
      <c r="Z13" s="71">
        <f>SUM($W$8:Y13)</f>
        <v>4019248.799999999</v>
      </c>
      <c r="AA13" s="360">
        <f t="shared" si="5"/>
        <v>16560</v>
      </c>
      <c r="AB13" s="325"/>
      <c r="AC13" s="325"/>
      <c r="AD13" s="333">
        <f t="shared" si="0"/>
        <v>707365.8</v>
      </c>
      <c r="AE13" s="333"/>
      <c r="AF13" s="333"/>
      <c r="AG13" s="333"/>
      <c r="AH13" s="334"/>
      <c r="AI13" s="335">
        <f>SUM($AD$8:AD13)</f>
        <v>1782594.800000001</v>
      </c>
      <c r="AJ13" s="336"/>
      <c r="AK13" s="336"/>
      <c r="AL13" s="336"/>
      <c r="AM13" s="337"/>
      <c r="AN13" s="73">
        <f t="shared" si="6"/>
        <v>1782594.800000001</v>
      </c>
    </row>
    <row r="14" spans="2:40" ht="13.5" customHeight="1">
      <c r="B14" s="379">
        <v>7</v>
      </c>
      <c r="C14" s="380"/>
      <c r="D14" s="325">
        <f t="shared" si="7"/>
        <v>923640.6</v>
      </c>
      <c r="E14" s="325"/>
      <c r="F14" s="325"/>
      <c r="G14" s="325">
        <f>シミュレーションデータ!AO27</f>
        <v>0</v>
      </c>
      <c r="H14" s="325"/>
      <c r="I14" s="326"/>
      <c r="J14" s="357">
        <f t="shared" si="1"/>
        <v>923640.6</v>
      </c>
      <c r="K14" s="358"/>
      <c r="L14" s="359"/>
      <c r="M14" s="67">
        <f>SUM($J$8:L14)</f>
        <v>6725484.199999999</v>
      </c>
      <c r="N14" s="360">
        <f t="shared" si="2"/>
        <v>19320</v>
      </c>
      <c r="O14" s="325"/>
      <c r="P14" s="325"/>
      <c r="Q14" s="325">
        <f t="shared" si="3"/>
        <v>155794.8</v>
      </c>
      <c r="R14" s="325"/>
      <c r="S14" s="325"/>
      <c r="T14" s="325">
        <f>SUM($Q$4*12/10)</f>
        <v>60479.999999999985</v>
      </c>
      <c r="U14" s="325"/>
      <c r="V14" s="326"/>
      <c r="W14" s="357">
        <f t="shared" si="4"/>
        <v>216274.8</v>
      </c>
      <c r="X14" s="358"/>
      <c r="Y14" s="359"/>
      <c r="Z14" s="69">
        <f>SUM($W$8:Y14)</f>
        <v>4235523.599999999</v>
      </c>
      <c r="AA14" s="360">
        <f t="shared" si="5"/>
        <v>19320</v>
      </c>
      <c r="AB14" s="325"/>
      <c r="AC14" s="325"/>
      <c r="AD14" s="333">
        <f t="shared" si="0"/>
        <v>707365.8</v>
      </c>
      <c r="AE14" s="333"/>
      <c r="AF14" s="333"/>
      <c r="AG14" s="333"/>
      <c r="AH14" s="334"/>
      <c r="AI14" s="335">
        <f>SUM($AD$8:AD14)</f>
        <v>2489960.600000001</v>
      </c>
      <c r="AJ14" s="336"/>
      <c r="AK14" s="336"/>
      <c r="AL14" s="336"/>
      <c r="AM14" s="337"/>
      <c r="AN14" s="73">
        <f t="shared" si="6"/>
        <v>2489960.600000001</v>
      </c>
    </row>
    <row r="15" spans="2:40" ht="13.5" customHeight="1">
      <c r="B15" s="379">
        <v>8</v>
      </c>
      <c r="C15" s="380"/>
      <c r="D15" s="325">
        <f t="shared" si="7"/>
        <v>923640.6</v>
      </c>
      <c r="E15" s="325"/>
      <c r="F15" s="325"/>
      <c r="G15" s="325">
        <f>シミュレーションデータ!AS27</f>
        <v>0</v>
      </c>
      <c r="H15" s="325"/>
      <c r="I15" s="326"/>
      <c r="J15" s="357">
        <f t="shared" si="1"/>
        <v>923640.6</v>
      </c>
      <c r="K15" s="358"/>
      <c r="L15" s="359"/>
      <c r="M15" s="67">
        <f>SUM($J$8:L15)</f>
        <v>7649124.799999999</v>
      </c>
      <c r="N15" s="360">
        <f t="shared" si="2"/>
        <v>22080</v>
      </c>
      <c r="O15" s="325"/>
      <c r="P15" s="325"/>
      <c r="Q15" s="325">
        <f t="shared" si="3"/>
        <v>155794.8</v>
      </c>
      <c r="R15" s="325"/>
      <c r="S15" s="325"/>
      <c r="T15" s="325">
        <f>SUM($Q$4*12/10)</f>
        <v>60479.999999999985</v>
      </c>
      <c r="U15" s="325"/>
      <c r="V15" s="326"/>
      <c r="W15" s="357">
        <f t="shared" si="4"/>
        <v>216274.8</v>
      </c>
      <c r="X15" s="358"/>
      <c r="Y15" s="359"/>
      <c r="Z15" s="70">
        <f>SUM($W$8:Y15)</f>
        <v>4451798.3999999985</v>
      </c>
      <c r="AA15" s="360">
        <f t="shared" si="5"/>
        <v>22080</v>
      </c>
      <c r="AB15" s="325"/>
      <c r="AC15" s="325"/>
      <c r="AD15" s="333">
        <f t="shared" si="0"/>
        <v>707365.8</v>
      </c>
      <c r="AE15" s="333"/>
      <c r="AF15" s="333"/>
      <c r="AG15" s="333"/>
      <c r="AH15" s="334"/>
      <c r="AI15" s="335">
        <f>SUM($AD$8:AD15)</f>
        <v>3197326.4000000013</v>
      </c>
      <c r="AJ15" s="336"/>
      <c r="AK15" s="336"/>
      <c r="AL15" s="336"/>
      <c r="AM15" s="337"/>
      <c r="AN15" s="73">
        <f t="shared" si="6"/>
        <v>3197326.4000000013</v>
      </c>
    </row>
    <row r="16" spans="2:40" ht="13.5" customHeight="1">
      <c r="B16" s="379">
        <v>9</v>
      </c>
      <c r="C16" s="380"/>
      <c r="D16" s="325">
        <f t="shared" si="7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357">
        <f t="shared" si="1"/>
        <v>1183640.6</v>
      </c>
      <c r="K16" s="358"/>
      <c r="L16" s="359"/>
      <c r="M16" s="67">
        <f>SUM($J$8:L16)</f>
        <v>8832765.399999999</v>
      </c>
      <c r="N16" s="360">
        <f t="shared" si="2"/>
        <v>24840</v>
      </c>
      <c r="O16" s="325"/>
      <c r="P16" s="325"/>
      <c r="Q16" s="325">
        <f t="shared" si="3"/>
        <v>155794.8</v>
      </c>
      <c r="R16" s="325"/>
      <c r="S16" s="325"/>
      <c r="T16" s="325">
        <f>SUM($Q$4*12/10)</f>
        <v>60479.999999999985</v>
      </c>
      <c r="U16" s="325"/>
      <c r="V16" s="326"/>
      <c r="W16" s="357">
        <f t="shared" si="4"/>
        <v>216274.8</v>
      </c>
      <c r="X16" s="358"/>
      <c r="Y16" s="359"/>
      <c r="Z16" s="71">
        <f>SUM($W$8:Y16)</f>
        <v>4668073.199999998</v>
      </c>
      <c r="AA16" s="360">
        <f t="shared" si="5"/>
        <v>24840</v>
      </c>
      <c r="AB16" s="325"/>
      <c r="AC16" s="325"/>
      <c r="AD16" s="333">
        <f t="shared" si="0"/>
        <v>967365.8</v>
      </c>
      <c r="AE16" s="333"/>
      <c r="AF16" s="333"/>
      <c r="AG16" s="333"/>
      <c r="AH16" s="334"/>
      <c r="AI16" s="335">
        <f>SUM($AD$8:AD16)</f>
        <v>4164692.200000001</v>
      </c>
      <c r="AJ16" s="336"/>
      <c r="AK16" s="336"/>
      <c r="AL16" s="336"/>
      <c r="AM16" s="337"/>
      <c r="AN16" s="73">
        <f t="shared" si="6"/>
        <v>4164692.200000001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357">
        <f t="shared" si="1"/>
        <v>923640.6</v>
      </c>
      <c r="K17" s="358"/>
      <c r="L17" s="359"/>
      <c r="M17" s="67">
        <f>SUM($J$8:L17)</f>
        <v>9756405.999999998</v>
      </c>
      <c r="N17" s="360">
        <f t="shared" si="2"/>
        <v>27600</v>
      </c>
      <c r="O17" s="325"/>
      <c r="P17" s="325"/>
      <c r="Q17" s="325">
        <f t="shared" si="3"/>
        <v>155794.8</v>
      </c>
      <c r="R17" s="325"/>
      <c r="S17" s="325"/>
      <c r="T17" s="325">
        <f>SUM($Q$4*12/10)</f>
        <v>60479.999999999985</v>
      </c>
      <c r="U17" s="325"/>
      <c r="V17" s="326"/>
      <c r="W17" s="357">
        <f t="shared" si="4"/>
        <v>216274.8</v>
      </c>
      <c r="X17" s="358"/>
      <c r="Y17" s="359"/>
      <c r="Z17" s="72">
        <f>SUM($W$8:Y17)</f>
        <v>4884347.999999998</v>
      </c>
      <c r="AA17" s="360">
        <f t="shared" si="5"/>
        <v>27600</v>
      </c>
      <c r="AB17" s="325"/>
      <c r="AC17" s="325"/>
      <c r="AD17" s="333">
        <f t="shared" si="0"/>
        <v>707365.8</v>
      </c>
      <c r="AE17" s="333"/>
      <c r="AF17" s="333"/>
      <c r="AG17" s="333"/>
      <c r="AH17" s="334"/>
      <c r="AI17" s="335">
        <f>SUM($AD$8:AD17)</f>
        <v>4872058.000000001</v>
      </c>
      <c r="AJ17" s="336"/>
      <c r="AK17" s="336"/>
      <c r="AL17" s="336"/>
      <c r="AM17" s="337"/>
      <c r="AN17" s="73">
        <f t="shared" si="6"/>
        <v>4872058.000000001</v>
      </c>
    </row>
    <row r="18" spans="2:39" ht="25.5" customHeight="1">
      <c r="B18" s="403" t="s">
        <v>25</v>
      </c>
      <c r="C18" s="404"/>
      <c r="D18" s="345">
        <f>SUM(D8:F12)</f>
        <v>4618203</v>
      </c>
      <c r="E18" s="356"/>
      <c r="F18" s="356"/>
      <c r="G18" s="356">
        <f>SUM(G8:I12)</f>
        <v>260000</v>
      </c>
      <c r="H18" s="356"/>
      <c r="I18" s="388"/>
      <c r="J18" s="389">
        <f>SUM(J8:L12)</f>
        <v>4878203</v>
      </c>
      <c r="K18" s="356"/>
      <c r="L18" s="390"/>
      <c r="M18" s="64"/>
      <c r="N18" s="355">
        <f>SUM(N8:P12)</f>
        <v>41400</v>
      </c>
      <c r="O18" s="356"/>
      <c r="P18" s="356"/>
      <c r="Q18" s="355">
        <f>SUM(Q8:S12)</f>
        <v>778974</v>
      </c>
      <c r="R18" s="356"/>
      <c r="S18" s="356"/>
      <c r="T18" s="355">
        <f>SUM(T8:V12)</f>
        <v>3023999.9999999995</v>
      </c>
      <c r="U18" s="356"/>
      <c r="V18" s="388"/>
      <c r="W18" s="389">
        <f>SUM(W8:Y12)</f>
        <v>3802973.999999999</v>
      </c>
      <c r="X18" s="356"/>
      <c r="Y18" s="390"/>
      <c r="Z18" s="64"/>
      <c r="AA18" s="355">
        <f>SUM(AA8:AC12)</f>
        <v>41400</v>
      </c>
      <c r="AB18" s="356"/>
      <c r="AC18" s="356"/>
      <c r="AD18" s="345">
        <f>SUM(AD8:AH12)</f>
        <v>1075229.000000001</v>
      </c>
      <c r="AE18" s="345"/>
      <c r="AF18" s="345"/>
      <c r="AG18" s="345"/>
      <c r="AH18" s="346"/>
      <c r="AI18" s="365">
        <f>AI12</f>
        <v>1075229.000000001</v>
      </c>
      <c r="AJ18" s="345"/>
      <c r="AK18" s="345"/>
      <c r="AL18" s="345"/>
      <c r="AM18" s="366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392">
        <f>SUM(J8:L17)</f>
        <v>9756405.999999998</v>
      </c>
      <c r="K19" s="393"/>
      <c r="L19" s="394"/>
      <c r="M19" s="65"/>
      <c r="N19" s="363">
        <f>SUM(N8:P17)</f>
        <v>151800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3326399.9999999995</v>
      </c>
      <c r="U19" s="364"/>
      <c r="V19" s="391"/>
      <c r="W19" s="392">
        <f>SUM(W8:Y17)</f>
        <v>4884347.999999998</v>
      </c>
      <c r="X19" s="393"/>
      <c r="Y19" s="394"/>
      <c r="Z19" s="65"/>
      <c r="AA19" s="363">
        <f>SUM(AA8:AC17)</f>
        <v>151800</v>
      </c>
      <c r="AB19" s="364"/>
      <c r="AC19" s="364"/>
      <c r="AD19" s="361">
        <f>SUM(AD8:AH17)</f>
        <v>4872058.000000001</v>
      </c>
      <c r="AE19" s="361"/>
      <c r="AF19" s="361"/>
      <c r="AG19" s="361"/>
      <c r="AH19" s="362"/>
      <c r="AI19" s="400">
        <f>AI17</f>
        <v>4872058.000000001</v>
      </c>
      <c r="AJ19" s="401"/>
      <c r="AK19" s="401"/>
      <c r="AL19" s="401"/>
      <c r="AM19" s="402"/>
    </row>
    <row r="21" spans="2:39" ht="12.75">
      <c r="B21" s="395" t="s">
        <v>4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14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22:AM22"/>
    <mergeCell ref="B23:AM23"/>
    <mergeCell ref="B1:AM1"/>
    <mergeCell ref="B21:AM21"/>
    <mergeCell ref="B19:C19"/>
    <mergeCell ref="Q19:S19"/>
    <mergeCell ref="T19:V19"/>
    <mergeCell ref="AI19:AM19"/>
    <mergeCell ref="W19:Y19"/>
    <mergeCell ref="B18:C18"/>
    <mergeCell ref="Q18:S18"/>
    <mergeCell ref="T18:V18"/>
    <mergeCell ref="W18:Y18"/>
    <mergeCell ref="D19:F19"/>
    <mergeCell ref="G19:I19"/>
    <mergeCell ref="J19:L19"/>
    <mergeCell ref="N19:P19"/>
    <mergeCell ref="D18:F18"/>
    <mergeCell ref="G18:I18"/>
    <mergeCell ref="J18:L18"/>
    <mergeCell ref="B17:C17"/>
    <mergeCell ref="Q17:S17"/>
    <mergeCell ref="T17:V17"/>
    <mergeCell ref="W17:Y17"/>
    <mergeCell ref="B16:C16"/>
    <mergeCell ref="Q16:S16"/>
    <mergeCell ref="T16:V16"/>
    <mergeCell ref="D16:F16"/>
    <mergeCell ref="D17:F17"/>
    <mergeCell ref="W16:Y16"/>
    <mergeCell ref="B13:C13"/>
    <mergeCell ref="Q13:S13"/>
    <mergeCell ref="T13:V13"/>
    <mergeCell ref="W13:Y13"/>
    <mergeCell ref="B7:C7"/>
    <mergeCell ref="Q7:S7"/>
    <mergeCell ref="T7:V7"/>
    <mergeCell ref="W7:Y7"/>
    <mergeCell ref="B12:C12"/>
    <mergeCell ref="Q12:S12"/>
    <mergeCell ref="B15:C15"/>
    <mergeCell ref="Q15:S15"/>
    <mergeCell ref="T15:V15"/>
    <mergeCell ref="W15:Y15"/>
    <mergeCell ref="B14:C14"/>
    <mergeCell ref="Q14:S14"/>
    <mergeCell ref="T14:V14"/>
    <mergeCell ref="W14:Y14"/>
    <mergeCell ref="D15:F15"/>
    <mergeCell ref="G15:I15"/>
    <mergeCell ref="N10:P10"/>
    <mergeCell ref="T12:V12"/>
    <mergeCell ref="W12:Y12"/>
    <mergeCell ref="B11:C11"/>
    <mergeCell ref="Q11:S11"/>
    <mergeCell ref="AA8:AC8"/>
    <mergeCell ref="AA9:AC9"/>
    <mergeCell ref="AA10:AC10"/>
    <mergeCell ref="W11:Y11"/>
    <mergeCell ref="N8:P8"/>
    <mergeCell ref="W9:Y9"/>
    <mergeCell ref="B8:C8"/>
    <mergeCell ref="Q8:S8"/>
    <mergeCell ref="T8:V8"/>
    <mergeCell ref="G8:I8"/>
    <mergeCell ref="J8:L8"/>
    <mergeCell ref="G9:I9"/>
    <mergeCell ref="J9:L9"/>
    <mergeCell ref="N9:P9"/>
    <mergeCell ref="D9:F9"/>
    <mergeCell ref="B3:C3"/>
    <mergeCell ref="D3:F3"/>
    <mergeCell ref="G3:I3"/>
    <mergeCell ref="J3:L3"/>
    <mergeCell ref="N3:P3"/>
    <mergeCell ref="B10:C10"/>
    <mergeCell ref="B9:C9"/>
    <mergeCell ref="D10:F10"/>
    <mergeCell ref="G10:I10"/>
    <mergeCell ref="J10:L10"/>
    <mergeCell ref="Q10:S10"/>
    <mergeCell ref="T10:V10"/>
    <mergeCell ref="W10:Y10"/>
    <mergeCell ref="B4:C4"/>
    <mergeCell ref="D4:F4"/>
    <mergeCell ref="G4:I4"/>
    <mergeCell ref="J4:L4"/>
    <mergeCell ref="N4:P4"/>
    <mergeCell ref="Q9:S9"/>
    <mergeCell ref="T9:V9"/>
    <mergeCell ref="Q3:S3"/>
    <mergeCell ref="W3:Y3"/>
    <mergeCell ref="W8:Y8"/>
    <mergeCell ref="Q4:S4"/>
    <mergeCell ref="W4:Y4"/>
    <mergeCell ref="D7:F7"/>
    <mergeCell ref="G7:I7"/>
    <mergeCell ref="J7:L7"/>
    <mergeCell ref="N7:P7"/>
    <mergeCell ref="D8:F8"/>
    <mergeCell ref="AA19:AC19"/>
    <mergeCell ref="AA18:AC18"/>
    <mergeCell ref="AI11:AM11"/>
    <mergeCell ref="AI12:AM12"/>
    <mergeCell ref="AI18:AM18"/>
    <mergeCell ref="AA15:AC15"/>
    <mergeCell ref="AA16:AC16"/>
    <mergeCell ref="AA17:AC17"/>
    <mergeCell ref="AA11:AC11"/>
    <mergeCell ref="AA12:AC12"/>
    <mergeCell ref="AI14:AM14"/>
    <mergeCell ref="AI15:AM15"/>
    <mergeCell ref="AA13:AC13"/>
    <mergeCell ref="AD19:AH19"/>
    <mergeCell ref="AD15:AH15"/>
    <mergeCell ref="AD16:AH16"/>
    <mergeCell ref="AD17:AH17"/>
    <mergeCell ref="AI17:AM17"/>
    <mergeCell ref="AI16:AM16"/>
    <mergeCell ref="AA14:AC14"/>
    <mergeCell ref="D14:F14"/>
    <mergeCell ref="G14:I14"/>
    <mergeCell ref="J14:L14"/>
    <mergeCell ref="N14:P14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N18:P18"/>
    <mergeCell ref="G17:I17"/>
    <mergeCell ref="J17:L17"/>
    <mergeCell ref="N17:P17"/>
    <mergeCell ref="J15:L15"/>
    <mergeCell ref="N15:P15"/>
    <mergeCell ref="G16:I16"/>
    <mergeCell ref="J16:L16"/>
    <mergeCell ref="N16:P16"/>
    <mergeCell ref="AD18:AH18"/>
    <mergeCell ref="T3:V3"/>
    <mergeCell ref="T4:V4"/>
    <mergeCell ref="AJ3:AM3"/>
    <mergeCell ref="AJ4:AM4"/>
    <mergeCell ref="AD7:AH7"/>
    <mergeCell ref="AD12:AH12"/>
    <mergeCell ref="AD13:AH13"/>
    <mergeCell ref="AD14:AH14"/>
    <mergeCell ref="AI13:AM13"/>
    <mergeCell ref="AA3:AC3"/>
    <mergeCell ref="AD3:AF3"/>
    <mergeCell ref="AG3:AI3"/>
    <mergeCell ref="AI7:AM7"/>
    <mergeCell ref="AI8:AM8"/>
    <mergeCell ref="AI9:AM9"/>
    <mergeCell ref="T11:V11"/>
    <mergeCell ref="AD4:AF4"/>
    <mergeCell ref="AG4:AI4"/>
    <mergeCell ref="AA4:AC4"/>
    <mergeCell ref="AA7:AC7"/>
    <mergeCell ref="AD8:AH8"/>
    <mergeCell ref="AD9:AH9"/>
    <mergeCell ref="AD10:AH10"/>
    <mergeCell ref="AD11:AH11"/>
    <mergeCell ref="AI10:AM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23"/>
  <sheetViews>
    <sheetView zoomScaleSheetLayoutView="100" zoomScalePageLayoutView="0" workbookViewId="0" topLeftCell="A41">
      <selection activeCell="Q25" sqref="Q25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15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38080</v>
      </c>
      <c r="R4" s="327"/>
      <c r="S4" s="327"/>
      <c r="T4" s="347">
        <v>0.0136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-25193</v>
      </c>
      <c r="AB4" s="327"/>
      <c r="AC4" s="327"/>
      <c r="AD4" s="327">
        <f>シミュレーションデータ!AZ14+Q4*12</f>
        <v>-310885.80000000005</v>
      </c>
      <c r="AE4" s="327"/>
      <c r="AF4" s="327"/>
      <c r="AG4" s="327">
        <f>SUM(AD4*7-G18)</f>
        <v>-2436200.6000000006</v>
      </c>
      <c r="AH4" s="327"/>
      <c r="AI4" s="328"/>
      <c r="AJ4" s="351" t="s">
        <v>113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370" t="s">
        <v>18</v>
      </c>
      <c r="K7" s="371"/>
      <c r="L7" s="372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370" t="s">
        <v>21</v>
      </c>
      <c r="X7" s="371"/>
      <c r="Y7" s="372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340" t="s">
        <v>22</v>
      </c>
      <c r="AJ7" s="341"/>
      <c r="AK7" s="341"/>
      <c r="AL7" s="341"/>
      <c r="AM7" s="342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367">
        <f>SUM(D8+G8)</f>
        <v>923640.6</v>
      </c>
      <c r="K8" s="368"/>
      <c r="L8" s="369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 aca="true" t="shared" si="0" ref="T8:T14">SUM($Q$4*12)</f>
        <v>456960</v>
      </c>
      <c r="U8" s="373"/>
      <c r="V8" s="383"/>
      <c r="W8" s="367">
        <f>SUM(Q8+T8)</f>
        <v>612754.8</v>
      </c>
      <c r="X8" s="368"/>
      <c r="Y8" s="369"/>
      <c r="Z8" s="68">
        <f>SUM($W$8:Y8)</f>
        <v>612754.8</v>
      </c>
      <c r="AA8" s="384">
        <f>シミュレーションデータ!Q32</f>
        <v>2760</v>
      </c>
      <c r="AB8" s="373"/>
      <c r="AC8" s="373"/>
      <c r="AD8" s="331">
        <f aca="true" t="shared" si="1" ref="AD8:AD17">SUM(J8-W8)</f>
        <v>310885.79999999993</v>
      </c>
      <c r="AE8" s="331"/>
      <c r="AF8" s="331"/>
      <c r="AG8" s="331"/>
      <c r="AH8" s="332"/>
      <c r="AI8" s="343">
        <f>SUM($AD$8:AD8)</f>
        <v>310885.79999999993</v>
      </c>
      <c r="AJ8" s="331"/>
      <c r="AK8" s="331"/>
      <c r="AL8" s="331"/>
      <c r="AM8" s="344"/>
      <c r="AN8" s="73">
        <f>AI8</f>
        <v>310885.79999999993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357">
        <f aca="true" t="shared" si="2" ref="J9:J17">SUM(D9+G9)</f>
        <v>923640.6</v>
      </c>
      <c r="K9" s="358"/>
      <c r="L9" s="359"/>
      <c r="M9" s="67">
        <f>SUM($J$8:L9)</f>
        <v>1847281.2</v>
      </c>
      <c r="N9" s="360">
        <f aca="true" t="shared" si="3" ref="N9:N17">$N$8*$B9</f>
        <v>5520</v>
      </c>
      <c r="O9" s="325"/>
      <c r="P9" s="325"/>
      <c r="Q9" s="325">
        <f aca="true" t="shared" si="4" ref="Q9:Q17">$Q$8</f>
        <v>155794.8</v>
      </c>
      <c r="R9" s="325"/>
      <c r="S9" s="325"/>
      <c r="T9" s="325">
        <f t="shared" si="0"/>
        <v>456960</v>
      </c>
      <c r="U9" s="325"/>
      <c r="V9" s="326"/>
      <c r="W9" s="357">
        <f aca="true" t="shared" si="5" ref="W9:W17">SUM(Q9+T9)</f>
        <v>612754.8</v>
      </c>
      <c r="X9" s="358"/>
      <c r="Y9" s="359"/>
      <c r="Z9" s="69">
        <f>SUM($W$8:Y9)</f>
        <v>1225509.6</v>
      </c>
      <c r="AA9" s="360">
        <f aca="true" t="shared" si="6" ref="AA9:AA17">$AA$8*$B9</f>
        <v>5520</v>
      </c>
      <c r="AB9" s="325"/>
      <c r="AC9" s="325"/>
      <c r="AD9" s="333">
        <f t="shared" si="1"/>
        <v>310885.79999999993</v>
      </c>
      <c r="AE9" s="333"/>
      <c r="AF9" s="333"/>
      <c r="AG9" s="333"/>
      <c r="AH9" s="334"/>
      <c r="AI9" s="335">
        <f>SUM($AD$8:AD9)</f>
        <v>621771.5999999999</v>
      </c>
      <c r="AJ9" s="336"/>
      <c r="AK9" s="336"/>
      <c r="AL9" s="336"/>
      <c r="AM9" s="337"/>
      <c r="AN9" s="73">
        <f aca="true" t="shared" si="7" ref="AN9:AN17">AI9</f>
        <v>621771.5999999999</v>
      </c>
    </row>
    <row r="10" spans="2:40" ht="13.5" customHeight="1">
      <c r="B10" s="379">
        <v>3</v>
      </c>
      <c r="C10" s="380"/>
      <c r="D10" s="325">
        <f aca="true" t="shared" si="8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357">
        <f t="shared" si="2"/>
        <v>923640.6</v>
      </c>
      <c r="K10" s="358"/>
      <c r="L10" s="359"/>
      <c r="M10" s="67">
        <f>SUM($J$8:L10)</f>
        <v>2770921.8</v>
      </c>
      <c r="N10" s="360">
        <f t="shared" si="3"/>
        <v>8280</v>
      </c>
      <c r="O10" s="325"/>
      <c r="P10" s="325"/>
      <c r="Q10" s="325">
        <f t="shared" si="4"/>
        <v>155794.8</v>
      </c>
      <c r="R10" s="325"/>
      <c r="S10" s="325"/>
      <c r="T10" s="325">
        <f t="shared" si="0"/>
        <v>456960</v>
      </c>
      <c r="U10" s="325"/>
      <c r="V10" s="326"/>
      <c r="W10" s="357">
        <f t="shared" si="5"/>
        <v>612754.8</v>
      </c>
      <c r="X10" s="358"/>
      <c r="Y10" s="359"/>
      <c r="Z10" s="69">
        <f>SUM($W$8:Y10)</f>
        <v>1838264.4000000001</v>
      </c>
      <c r="AA10" s="360">
        <f t="shared" si="6"/>
        <v>8280</v>
      </c>
      <c r="AB10" s="325"/>
      <c r="AC10" s="325"/>
      <c r="AD10" s="333">
        <f t="shared" si="1"/>
        <v>310885.79999999993</v>
      </c>
      <c r="AE10" s="333"/>
      <c r="AF10" s="333"/>
      <c r="AG10" s="333"/>
      <c r="AH10" s="334"/>
      <c r="AI10" s="335">
        <f>SUM($AD$8:AD10)</f>
        <v>932657.3999999998</v>
      </c>
      <c r="AJ10" s="336"/>
      <c r="AK10" s="336"/>
      <c r="AL10" s="336"/>
      <c r="AM10" s="337"/>
      <c r="AN10" s="73">
        <f t="shared" si="7"/>
        <v>932657.3999999998</v>
      </c>
    </row>
    <row r="11" spans="2:40" ht="13.5" customHeight="1">
      <c r="B11" s="379">
        <v>4</v>
      </c>
      <c r="C11" s="380"/>
      <c r="D11" s="325">
        <f t="shared" si="8"/>
        <v>923640.6</v>
      </c>
      <c r="E11" s="325"/>
      <c r="F11" s="325"/>
      <c r="G11" s="325">
        <f>シミュレーションデータ!AC27</f>
        <v>0</v>
      </c>
      <c r="H11" s="325"/>
      <c r="I11" s="326"/>
      <c r="J11" s="357">
        <f t="shared" si="2"/>
        <v>923640.6</v>
      </c>
      <c r="K11" s="358"/>
      <c r="L11" s="359"/>
      <c r="M11" s="67">
        <f>SUM($J$8:L11)</f>
        <v>3694562.4</v>
      </c>
      <c r="N11" s="360">
        <f t="shared" si="3"/>
        <v>11040</v>
      </c>
      <c r="O11" s="325"/>
      <c r="P11" s="325"/>
      <c r="Q11" s="325">
        <f t="shared" si="4"/>
        <v>155794.8</v>
      </c>
      <c r="R11" s="325"/>
      <c r="S11" s="325"/>
      <c r="T11" s="325">
        <f t="shared" si="0"/>
        <v>456960</v>
      </c>
      <c r="U11" s="325"/>
      <c r="V11" s="326"/>
      <c r="W11" s="357">
        <f t="shared" si="5"/>
        <v>612754.8</v>
      </c>
      <c r="X11" s="358"/>
      <c r="Y11" s="359"/>
      <c r="Z11" s="70">
        <f>SUM($W$8:Y11)</f>
        <v>2451019.2</v>
      </c>
      <c r="AA11" s="360">
        <f t="shared" si="6"/>
        <v>11040</v>
      </c>
      <c r="AB11" s="325"/>
      <c r="AC11" s="325"/>
      <c r="AD11" s="333">
        <f t="shared" si="1"/>
        <v>310885.79999999993</v>
      </c>
      <c r="AE11" s="333"/>
      <c r="AF11" s="333"/>
      <c r="AG11" s="333"/>
      <c r="AH11" s="334"/>
      <c r="AI11" s="335">
        <f>SUM($AD$8:AD11)</f>
        <v>1243543.1999999997</v>
      </c>
      <c r="AJ11" s="336"/>
      <c r="AK11" s="336"/>
      <c r="AL11" s="336"/>
      <c r="AM11" s="337"/>
      <c r="AN11" s="73">
        <f t="shared" si="7"/>
        <v>1243543.1999999997</v>
      </c>
    </row>
    <row r="12" spans="2:40" ht="13.5" customHeight="1">
      <c r="B12" s="379">
        <v>5</v>
      </c>
      <c r="C12" s="380"/>
      <c r="D12" s="325">
        <f t="shared" si="8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357">
        <f t="shared" si="2"/>
        <v>1183640.6</v>
      </c>
      <c r="K12" s="358"/>
      <c r="L12" s="359"/>
      <c r="M12" s="67">
        <f>SUM($J$8:L12)</f>
        <v>4878203</v>
      </c>
      <c r="N12" s="360">
        <f t="shared" si="3"/>
        <v>13800</v>
      </c>
      <c r="O12" s="325"/>
      <c r="P12" s="325"/>
      <c r="Q12" s="325">
        <f t="shared" si="4"/>
        <v>155794.8</v>
      </c>
      <c r="R12" s="325"/>
      <c r="S12" s="325"/>
      <c r="T12" s="325">
        <f t="shared" si="0"/>
        <v>456960</v>
      </c>
      <c r="U12" s="325"/>
      <c r="V12" s="326"/>
      <c r="W12" s="357">
        <f t="shared" si="5"/>
        <v>612754.8</v>
      </c>
      <c r="X12" s="358"/>
      <c r="Y12" s="359"/>
      <c r="Z12" s="71">
        <f>SUM($W$8:Y12)</f>
        <v>3063774</v>
      </c>
      <c r="AA12" s="360">
        <f t="shared" si="6"/>
        <v>13800</v>
      </c>
      <c r="AB12" s="325"/>
      <c r="AC12" s="325"/>
      <c r="AD12" s="333">
        <f t="shared" si="1"/>
        <v>570885.8</v>
      </c>
      <c r="AE12" s="333"/>
      <c r="AF12" s="333"/>
      <c r="AG12" s="333"/>
      <c r="AH12" s="334"/>
      <c r="AI12" s="335">
        <f>SUM($AD$8:AD12)</f>
        <v>1814428.9999999998</v>
      </c>
      <c r="AJ12" s="336"/>
      <c r="AK12" s="336"/>
      <c r="AL12" s="336"/>
      <c r="AM12" s="337"/>
      <c r="AN12" s="73">
        <f t="shared" si="7"/>
        <v>1814428.9999999998</v>
      </c>
    </row>
    <row r="13" spans="2:40" ht="13.5" customHeight="1">
      <c r="B13" s="379">
        <v>6</v>
      </c>
      <c r="C13" s="380"/>
      <c r="D13" s="325">
        <f t="shared" si="8"/>
        <v>923640.6</v>
      </c>
      <c r="E13" s="325"/>
      <c r="F13" s="325"/>
      <c r="G13" s="325">
        <f>シミュレーションデータ!AK27</f>
        <v>0</v>
      </c>
      <c r="H13" s="325"/>
      <c r="I13" s="326"/>
      <c r="J13" s="357">
        <f t="shared" si="2"/>
        <v>923640.6</v>
      </c>
      <c r="K13" s="358"/>
      <c r="L13" s="359"/>
      <c r="M13" s="67">
        <f>SUM($J$8:L13)</f>
        <v>5801843.6</v>
      </c>
      <c r="N13" s="360">
        <f t="shared" si="3"/>
        <v>16560</v>
      </c>
      <c r="O13" s="325"/>
      <c r="P13" s="325"/>
      <c r="Q13" s="325">
        <f t="shared" si="4"/>
        <v>155794.8</v>
      </c>
      <c r="R13" s="325"/>
      <c r="S13" s="325"/>
      <c r="T13" s="325">
        <f t="shared" si="0"/>
        <v>456960</v>
      </c>
      <c r="U13" s="325"/>
      <c r="V13" s="326"/>
      <c r="W13" s="357">
        <f t="shared" si="5"/>
        <v>612754.8</v>
      </c>
      <c r="X13" s="358"/>
      <c r="Y13" s="359"/>
      <c r="Z13" s="71">
        <f>SUM($W$8:Y13)</f>
        <v>3676528.8</v>
      </c>
      <c r="AA13" s="360">
        <f t="shared" si="6"/>
        <v>16560</v>
      </c>
      <c r="AB13" s="325"/>
      <c r="AC13" s="325"/>
      <c r="AD13" s="333">
        <f t="shared" si="1"/>
        <v>310885.79999999993</v>
      </c>
      <c r="AE13" s="333"/>
      <c r="AF13" s="333"/>
      <c r="AG13" s="333"/>
      <c r="AH13" s="334"/>
      <c r="AI13" s="335">
        <f>SUM($AD$8:AD13)</f>
        <v>2125314.8</v>
      </c>
      <c r="AJ13" s="336"/>
      <c r="AK13" s="336"/>
      <c r="AL13" s="336"/>
      <c r="AM13" s="337"/>
      <c r="AN13" s="73">
        <f t="shared" si="7"/>
        <v>2125314.8</v>
      </c>
    </row>
    <row r="14" spans="2:40" ht="13.5" customHeight="1">
      <c r="B14" s="379">
        <v>7</v>
      </c>
      <c r="C14" s="380"/>
      <c r="D14" s="325">
        <f t="shared" si="8"/>
        <v>923640.6</v>
      </c>
      <c r="E14" s="325"/>
      <c r="F14" s="325"/>
      <c r="G14" s="325">
        <f>シミュレーションデータ!AO27</f>
        <v>0</v>
      </c>
      <c r="H14" s="325"/>
      <c r="I14" s="326"/>
      <c r="J14" s="357">
        <f t="shared" si="2"/>
        <v>923640.6</v>
      </c>
      <c r="K14" s="358"/>
      <c r="L14" s="359"/>
      <c r="M14" s="67">
        <f>SUM($J$8:L14)</f>
        <v>6725484.199999999</v>
      </c>
      <c r="N14" s="360">
        <f t="shared" si="3"/>
        <v>19320</v>
      </c>
      <c r="O14" s="325"/>
      <c r="P14" s="325"/>
      <c r="Q14" s="325">
        <f t="shared" si="4"/>
        <v>155794.8</v>
      </c>
      <c r="R14" s="325"/>
      <c r="S14" s="325"/>
      <c r="T14" s="325">
        <f t="shared" si="0"/>
        <v>456960</v>
      </c>
      <c r="U14" s="325"/>
      <c r="V14" s="326"/>
      <c r="W14" s="357">
        <f t="shared" si="5"/>
        <v>612754.8</v>
      </c>
      <c r="X14" s="358"/>
      <c r="Y14" s="359"/>
      <c r="Z14" s="69">
        <f>SUM($W$8:Y14)</f>
        <v>4289283.6</v>
      </c>
      <c r="AA14" s="360">
        <f t="shared" si="6"/>
        <v>19320</v>
      </c>
      <c r="AB14" s="325"/>
      <c r="AC14" s="325"/>
      <c r="AD14" s="333">
        <f t="shared" si="1"/>
        <v>310885.79999999993</v>
      </c>
      <c r="AE14" s="333"/>
      <c r="AF14" s="333"/>
      <c r="AG14" s="333"/>
      <c r="AH14" s="334"/>
      <c r="AI14" s="335">
        <f>SUM($AD$8:AD14)</f>
        <v>2436200.5999999996</v>
      </c>
      <c r="AJ14" s="336"/>
      <c r="AK14" s="336"/>
      <c r="AL14" s="336"/>
      <c r="AM14" s="337"/>
      <c r="AN14" s="73">
        <f t="shared" si="7"/>
        <v>2436200.5999999996</v>
      </c>
    </row>
    <row r="15" spans="2:40" ht="13.5" customHeight="1">
      <c r="B15" s="379">
        <v>8</v>
      </c>
      <c r="C15" s="380"/>
      <c r="D15" s="325">
        <f t="shared" si="8"/>
        <v>923640.6</v>
      </c>
      <c r="E15" s="325"/>
      <c r="F15" s="325"/>
      <c r="G15" s="325">
        <f>シミュレーションデータ!AS27</f>
        <v>0</v>
      </c>
      <c r="H15" s="325"/>
      <c r="I15" s="326"/>
      <c r="J15" s="357">
        <f t="shared" si="2"/>
        <v>923640.6</v>
      </c>
      <c r="K15" s="358"/>
      <c r="L15" s="359"/>
      <c r="M15" s="67">
        <f>SUM($J$8:L15)</f>
        <v>7649124.799999999</v>
      </c>
      <c r="N15" s="360">
        <f t="shared" si="3"/>
        <v>22080</v>
      </c>
      <c r="O15" s="325"/>
      <c r="P15" s="325"/>
      <c r="Q15" s="325">
        <f t="shared" si="4"/>
        <v>155794.8</v>
      </c>
      <c r="R15" s="325"/>
      <c r="S15" s="325"/>
      <c r="T15" s="325">
        <f>SUM($Q$4*12/10)</f>
        <v>45696</v>
      </c>
      <c r="U15" s="325"/>
      <c r="V15" s="326"/>
      <c r="W15" s="357">
        <f t="shared" si="5"/>
        <v>201490.8</v>
      </c>
      <c r="X15" s="358"/>
      <c r="Y15" s="359"/>
      <c r="Z15" s="70">
        <f>SUM($W$8:Y15)</f>
        <v>4490774.399999999</v>
      </c>
      <c r="AA15" s="360">
        <f t="shared" si="6"/>
        <v>22080</v>
      </c>
      <c r="AB15" s="325"/>
      <c r="AC15" s="325"/>
      <c r="AD15" s="333">
        <f t="shared" si="1"/>
        <v>722149.8</v>
      </c>
      <c r="AE15" s="333"/>
      <c r="AF15" s="333"/>
      <c r="AG15" s="333"/>
      <c r="AH15" s="334"/>
      <c r="AI15" s="335">
        <f>SUM($AD$8:AD15)</f>
        <v>3158350.3999999994</v>
      </c>
      <c r="AJ15" s="336"/>
      <c r="AK15" s="336"/>
      <c r="AL15" s="336"/>
      <c r="AM15" s="337"/>
      <c r="AN15" s="73">
        <f t="shared" si="7"/>
        <v>3158350.3999999994</v>
      </c>
    </row>
    <row r="16" spans="2:40" ht="13.5" customHeight="1">
      <c r="B16" s="379">
        <v>9</v>
      </c>
      <c r="C16" s="380"/>
      <c r="D16" s="325">
        <f t="shared" si="8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357">
        <f t="shared" si="2"/>
        <v>1183640.6</v>
      </c>
      <c r="K16" s="358"/>
      <c r="L16" s="359"/>
      <c r="M16" s="67">
        <f>SUM($J$8:L16)</f>
        <v>8832765.399999999</v>
      </c>
      <c r="N16" s="360">
        <f t="shared" si="3"/>
        <v>24840</v>
      </c>
      <c r="O16" s="325"/>
      <c r="P16" s="325"/>
      <c r="Q16" s="325">
        <f t="shared" si="4"/>
        <v>155794.8</v>
      </c>
      <c r="R16" s="325"/>
      <c r="S16" s="325"/>
      <c r="T16" s="325">
        <f>SUM($Q$4*12/10)</f>
        <v>45696</v>
      </c>
      <c r="U16" s="325"/>
      <c r="V16" s="326"/>
      <c r="W16" s="357">
        <f t="shared" si="5"/>
        <v>201490.8</v>
      </c>
      <c r="X16" s="358"/>
      <c r="Y16" s="359"/>
      <c r="Z16" s="71">
        <f>SUM($W$8:Y16)</f>
        <v>4692265.199999999</v>
      </c>
      <c r="AA16" s="360">
        <f t="shared" si="6"/>
        <v>24840</v>
      </c>
      <c r="AB16" s="325"/>
      <c r="AC16" s="325"/>
      <c r="AD16" s="333">
        <f t="shared" si="1"/>
        <v>982149.8</v>
      </c>
      <c r="AE16" s="333"/>
      <c r="AF16" s="333"/>
      <c r="AG16" s="333"/>
      <c r="AH16" s="334"/>
      <c r="AI16" s="335">
        <f>SUM($AD$8:AD16)</f>
        <v>4140500.1999999993</v>
      </c>
      <c r="AJ16" s="336"/>
      <c r="AK16" s="336"/>
      <c r="AL16" s="336"/>
      <c r="AM16" s="337"/>
      <c r="AN16" s="73">
        <f t="shared" si="7"/>
        <v>4140500.1999999993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357">
        <f t="shared" si="2"/>
        <v>923640.6</v>
      </c>
      <c r="K17" s="358"/>
      <c r="L17" s="359"/>
      <c r="M17" s="67">
        <f>SUM($J$8:L17)</f>
        <v>9756405.999999998</v>
      </c>
      <c r="N17" s="360">
        <f t="shared" si="3"/>
        <v>27600</v>
      </c>
      <c r="O17" s="325"/>
      <c r="P17" s="325"/>
      <c r="Q17" s="325">
        <f t="shared" si="4"/>
        <v>155794.8</v>
      </c>
      <c r="R17" s="325"/>
      <c r="S17" s="325"/>
      <c r="T17" s="325">
        <f>SUM($Q$4*12/10)</f>
        <v>45696</v>
      </c>
      <c r="U17" s="325"/>
      <c r="V17" s="326"/>
      <c r="W17" s="357">
        <f t="shared" si="5"/>
        <v>201490.8</v>
      </c>
      <c r="X17" s="358"/>
      <c r="Y17" s="359"/>
      <c r="Z17" s="72">
        <f>SUM($W$8:Y17)</f>
        <v>4893755.999999999</v>
      </c>
      <c r="AA17" s="360">
        <f t="shared" si="6"/>
        <v>27600</v>
      </c>
      <c r="AB17" s="325"/>
      <c r="AC17" s="325"/>
      <c r="AD17" s="333">
        <f t="shared" si="1"/>
        <v>722149.8</v>
      </c>
      <c r="AE17" s="333"/>
      <c r="AF17" s="333"/>
      <c r="AG17" s="333"/>
      <c r="AH17" s="334"/>
      <c r="AI17" s="335">
        <f>SUM($AD$8:AD17)</f>
        <v>4862649.999999999</v>
      </c>
      <c r="AJ17" s="336"/>
      <c r="AK17" s="336"/>
      <c r="AL17" s="336"/>
      <c r="AM17" s="337"/>
      <c r="AN17" s="73">
        <f t="shared" si="7"/>
        <v>4862649.999999999</v>
      </c>
    </row>
    <row r="18" spans="2:39" ht="25.5" customHeight="1">
      <c r="B18" s="403" t="s">
        <v>95</v>
      </c>
      <c r="C18" s="404"/>
      <c r="D18" s="345">
        <f>SUM(D8:F14)</f>
        <v>6465484.199999999</v>
      </c>
      <c r="E18" s="356"/>
      <c r="F18" s="356"/>
      <c r="G18" s="345">
        <f>SUM(G8:I14)</f>
        <v>260000</v>
      </c>
      <c r="H18" s="356"/>
      <c r="I18" s="388"/>
      <c r="J18" s="389">
        <f>SUM(J8:L14)</f>
        <v>6725484.199999999</v>
      </c>
      <c r="K18" s="356"/>
      <c r="L18" s="390"/>
      <c r="M18" s="64"/>
      <c r="N18" s="355">
        <f>N14</f>
        <v>19320</v>
      </c>
      <c r="O18" s="356"/>
      <c r="P18" s="356"/>
      <c r="Q18" s="355">
        <f>SUM(Q8:S14)</f>
        <v>1090563.6</v>
      </c>
      <c r="R18" s="356"/>
      <c r="S18" s="356"/>
      <c r="T18" s="355">
        <f>SUM(T8:V14)</f>
        <v>3198720</v>
      </c>
      <c r="U18" s="356"/>
      <c r="V18" s="388"/>
      <c r="W18" s="389">
        <f>SUM(W8:Y14)</f>
        <v>4289283.6</v>
      </c>
      <c r="X18" s="356"/>
      <c r="Y18" s="390"/>
      <c r="Z18" s="64"/>
      <c r="AA18" s="355">
        <f>AA14</f>
        <v>19320</v>
      </c>
      <c r="AB18" s="356"/>
      <c r="AC18" s="356"/>
      <c r="AD18" s="345">
        <f>SUM(AD8:AH14)</f>
        <v>2436200.5999999996</v>
      </c>
      <c r="AE18" s="345"/>
      <c r="AF18" s="345"/>
      <c r="AG18" s="345"/>
      <c r="AH18" s="346"/>
      <c r="AI18" s="365">
        <f>AI14</f>
        <v>2436200.5999999996</v>
      </c>
      <c r="AJ18" s="345"/>
      <c r="AK18" s="345"/>
      <c r="AL18" s="345"/>
      <c r="AM18" s="366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392">
        <f>SUM(J8:L17)</f>
        <v>9756405.999999998</v>
      </c>
      <c r="K19" s="393"/>
      <c r="L19" s="394"/>
      <c r="M19" s="65"/>
      <c r="N19" s="363">
        <f>N17</f>
        <v>27600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3335808</v>
      </c>
      <c r="U19" s="364"/>
      <c r="V19" s="391"/>
      <c r="W19" s="392">
        <f>SUM(W8:Y17)</f>
        <v>4893755.999999999</v>
      </c>
      <c r="X19" s="393"/>
      <c r="Y19" s="394"/>
      <c r="Z19" s="65"/>
      <c r="AA19" s="363">
        <f>AA17</f>
        <v>27600</v>
      </c>
      <c r="AB19" s="364"/>
      <c r="AC19" s="364"/>
      <c r="AD19" s="361">
        <f>SUM(AD8:AH17)</f>
        <v>4862649.999999999</v>
      </c>
      <c r="AE19" s="361"/>
      <c r="AF19" s="361"/>
      <c r="AG19" s="361"/>
      <c r="AH19" s="362"/>
      <c r="AI19" s="400">
        <f>AI17</f>
        <v>4862649.999999999</v>
      </c>
      <c r="AJ19" s="401"/>
      <c r="AK19" s="401"/>
      <c r="AL19" s="401"/>
      <c r="AM19" s="402"/>
    </row>
    <row r="21" spans="2:39" ht="12.75">
      <c r="B21" s="395" t="s">
        <v>99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100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21:AM21"/>
    <mergeCell ref="B22:AM22"/>
    <mergeCell ref="B23:AM23"/>
    <mergeCell ref="Q19:S19"/>
    <mergeCell ref="T19:V19"/>
    <mergeCell ref="W19:Y19"/>
    <mergeCell ref="AA19:AC19"/>
    <mergeCell ref="AD19:AH19"/>
    <mergeCell ref="AI19:AM19"/>
    <mergeCell ref="T18:V18"/>
    <mergeCell ref="W18:Y18"/>
    <mergeCell ref="AA18:AC18"/>
    <mergeCell ref="AD18:AH18"/>
    <mergeCell ref="AI18:AM18"/>
    <mergeCell ref="B19:C19"/>
    <mergeCell ref="D19:F19"/>
    <mergeCell ref="G19:I19"/>
    <mergeCell ref="J19:L19"/>
    <mergeCell ref="N19:P19"/>
    <mergeCell ref="B18:C18"/>
    <mergeCell ref="D18:F18"/>
    <mergeCell ref="G18:I18"/>
    <mergeCell ref="J18:L18"/>
    <mergeCell ref="N18:P18"/>
    <mergeCell ref="Q18:S18"/>
    <mergeCell ref="Q17:S17"/>
    <mergeCell ref="T17:V17"/>
    <mergeCell ref="W17:Y17"/>
    <mergeCell ref="AA17:AC17"/>
    <mergeCell ref="AD17:AH17"/>
    <mergeCell ref="AI17:AM17"/>
    <mergeCell ref="T16:V16"/>
    <mergeCell ref="W16:Y16"/>
    <mergeCell ref="AA16:AC16"/>
    <mergeCell ref="AD16:AH16"/>
    <mergeCell ref="AI16:AM16"/>
    <mergeCell ref="Q16:S16"/>
    <mergeCell ref="B17:C17"/>
    <mergeCell ref="D17:F17"/>
    <mergeCell ref="G17:I17"/>
    <mergeCell ref="J17:L17"/>
    <mergeCell ref="N17:P17"/>
    <mergeCell ref="B16:C16"/>
    <mergeCell ref="D16:F16"/>
    <mergeCell ref="G16:I16"/>
    <mergeCell ref="J16:L16"/>
    <mergeCell ref="N16:P16"/>
    <mergeCell ref="Q15:S15"/>
    <mergeCell ref="T15:V15"/>
    <mergeCell ref="W15:Y15"/>
    <mergeCell ref="AA15:AC15"/>
    <mergeCell ref="AD15:AH15"/>
    <mergeCell ref="AI15:AM15"/>
    <mergeCell ref="T14:V14"/>
    <mergeCell ref="W14:Y14"/>
    <mergeCell ref="AA14:AC14"/>
    <mergeCell ref="AD14:AH14"/>
    <mergeCell ref="AI14:AM14"/>
    <mergeCell ref="Q14:S14"/>
    <mergeCell ref="B15:C15"/>
    <mergeCell ref="D15:F15"/>
    <mergeCell ref="G15:I15"/>
    <mergeCell ref="J15:L15"/>
    <mergeCell ref="N15:P15"/>
    <mergeCell ref="B14:C14"/>
    <mergeCell ref="D14:F14"/>
    <mergeCell ref="G14:I14"/>
    <mergeCell ref="J14:L14"/>
    <mergeCell ref="N14:P14"/>
    <mergeCell ref="Q13:S13"/>
    <mergeCell ref="T13:V13"/>
    <mergeCell ref="W13:Y13"/>
    <mergeCell ref="AA13:AC13"/>
    <mergeCell ref="AD13:AH13"/>
    <mergeCell ref="AI13:AM13"/>
    <mergeCell ref="T12:V12"/>
    <mergeCell ref="W12:Y12"/>
    <mergeCell ref="AA12:AC12"/>
    <mergeCell ref="AD12:AH12"/>
    <mergeCell ref="AI12:AM12"/>
    <mergeCell ref="Q12:S12"/>
    <mergeCell ref="B13:C13"/>
    <mergeCell ref="D13:F13"/>
    <mergeCell ref="G13:I13"/>
    <mergeCell ref="J13:L13"/>
    <mergeCell ref="N13:P13"/>
    <mergeCell ref="B12:C12"/>
    <mergeCell ref="D12:F12"/>
    <mergeCell ref="G12:I12"/>
    <mergeCell ref="J12:L12"/>
    <mergeCell ref="N12:P12"/>
    <mergeCell ref="Q11:S11"/>
    <mergeCell ref="T11:V11"/>
    <mergeCell ref="W11:Y11"/>
    <mergeCell ref="AA11:AC11"/>
    <mergeCell ref="AD11:AH11"/>
    <mergeCell ref="AI11:AM11"/>
    <mergeCell ref="T10:V10"/>
    <mergeCell ref="W10:Y10"/>
    <mergeCell ref="AA10:AC10"/>
    <mergeCell ref="AD10:AH10"/>
    <mergeCell ref="AI10:AM10"/>
    <mergeCell ref="Q10:S10"/>
    <mergeCell ref="B11:C11"/>
    <mergeCell ref="D11:F11"/>
    <mergeCell ref="G11:I11"/>
    <mergeCell ref="J11:L11"/>
    <mergeCell ref="N11:P11"/>
    <mergeCell ref="B10:C10"/>
    <mergeCell ref="D10:F10"/>
    <mergeCell ref="G10:I10"/>
    <mergeCell ref="J10:L10"/>
    <mergeCell ref="N10:P10"/>
    <mergeCell ref="B9:C9"/>
    <mergeCell ref="D9:F9"/>
    <mergeCell ref="G9:I9"/>
    <mergeCell ref="J9:L9"/>
    <mergeCell ref="N9:P9"/>
    <mergeCell ref="B8:C8"/>
    <mergeCell ref="D8:F8"/>
    <mergeCell ref="G8:I8"/>
    <mergeCell ref="J8:L8"/>
    <mergeCell ref="N8:P8"/>
    <mergeCell ref="Q9:S9"/>
    <mergeCell ref="T9:V9"/>
    <mergeCell ref="W9:Y9"/>
    <mergeCell ref="AA9:AC9"/>
    <mergeCell ref="Q8:S8"/>
    <mergeCell ref="AD9:AH9"/>
    <mergeCell ref="AI9:AM9"/>
    <mergeCell ref="T8:V8"/>
    <mergeCell ref="W8:Y8"/>
    <mergeCell ref="AA8:AC8"/>
    <mergeCell ref="AD8:AH8"/>
    <mergeCell ref="AI8:AM8"/>
    <mergeCell ref="B7:C7"/>
    <mergeCell ref="D7:F7"/>
    <mergeCell ref="G7:I7"/>
    <mergeCell ref="J7:L7"/>
    <mergeCell ref="N7:P7"/>
    <mergeCell ref="AD3:AF3"/>
    <mergeCell ref="Q7:S7"/>
    <mergeCell ref="T7:V7"/>
    <mergeCell ref="W7:Y7"/>
    <mergeCell ref="AA7:AC7"/>
    <mergeCell ref="B4:C4"/>
    <mergeCell ref="D4:F4"/>
    <mergeCell ref="G4:I4"/>
    <mergeCell ref="J4:L4"/>
    <mergeCell ref="N4:P4"/>
    <mergeCell ref="Q4:S4"/>
    <mergeCell ref="B1:AM1"/>
    <mergeCell ref="B3:C3"/>
    <mergeCell ref="D3:F3"/>
    <mergeCell ref="G3:I3"/>
    <mergeCell ref="J3:L3"/>
    <mergeCell ref="AG3:AI3"/>
    <mergeCell ref="AJ3:AM3"/>
    <mergeCell ref="N3:P3"/>
    <mergeCell ref="Q3:S3"/>
    <mergeCell ref="T3:V3"/>
    <mergeCell ref="T4:V4"/>
    <mergeCell ref="W3:Y3"/>
    <mergeCell ref="AA3:AC3"/>
    <mergeCell ref="AD7:AH7"/>
    <mergeCell ref="AI7:AM7"/>
    <mergeCell ref="W4:Y4"/>
    <mergeCell ref="AA4:AC4"/>
    <mergeCell ref="AD4:AF4"/>
    <mergeCell ref="AG4:AI4"/>
    <mergeCell ref="AJ4:A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23"/>
  <sheetViews>
    <sheetView zoomScaleSheetLayoutView="100" zoomScalePageLayoutView="0" workbookViewId="0" topLeftCell="A41">
      <selection activeCell="B23" sqref="B23:AM23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16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30996</v>
      </c>
      <c r="R4" s="327"/>
      <c r="S4" s="327"/>
      <c r="T4" s="347">
        <v>0.01107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-32277</v>
      </c>
      <c r="AB4" s="327"/>
      <c r="AC4" s="327"/>
      <c r="AD4" s="327">
        <f>シミュレーションデータ!AZ14+Q4*12</f>
        <v>-395893.80000000005</v>
      </c>
      <c r="AE4" s="327"/>
      <c r="AF4" s="327"/>
      <c r="AG4" s="327">
        <f>SUM(AD4*9-G18)</f>
        <v>-4083044.2</v>
      </c>
      <c r="AH4" s="327"/>
      <c r="AI4" s="328"/>
      <c r="AJ4" s="351" t="s">
        <v>113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426" t="s">
        <v>18</v>
      </c>
      <c r="K7" s="427"/>
      <c r="L7" s="428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426" t="s">
        <v>21</v>
      </c>
      <c r="X7" s="427"/>
      <c r="Y7" s="428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423" t="s">
        <v>22</v>
      </c>
      <c r="AJ7" s="424"/>
      <c r="AK7" s="424"/>
      <c r="AL7" s="424"/>
      <c r="AM7" s="425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419">
        <f>SUM(D8+G8)</f>
        <v>923640.6</v>
      </c>
      <c r="K8" s="368"/>
      <c r="L8" s="420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 aca="true" t="shared" si="0" ref="T8:T16">SUM($Q$4*12)</f>
        <v>371952</v>
      </c>
      <c r="U8" s="373"/>
      <c r="V8" s="383"/>
      <c r="W8" s="419">
        <f>SUM(Q8+T8)</f>
        <v>527746.8</v>
      </c>
      <c r="X8" s="368"/>
      <c r="Y8" s="420"/>
      <c r="Z8" s="66">
        <f>SUM($W$8:Y8)</f>
        <v>527746.8</v>
      </c>
      <c r="AA8" s="384">
        <f>シミュレーションデータ!Q32</f>
        <v>2760</v>
      </c>
      <c r="AB8" s="373"/>
      <c r="AC8" s="373"/>
      <c r="AD8" s="331">
        <f aca="true" t="shared" si="1" ref="AD8:AD17">SUM(J8-W8)</f>
        <v>395893.79999999993</v>
      </c>
      <c r="AE8" s="331"/>
      <c r="AF8" s="331"/>
      <c r="AG8" s="331"/>
      <c r="AH8" s="332"/>
      <c r="AI8" s="421">
        <f>SUM($AD$8:AD8)</f>
        <v>395893.79999999993</v>
      </c>
      <c r="AJ8" s="331"/>
      <c r="AK8" s="331"/>
      <c r="AL8" s="331"/>
      <c r="AM8" s="422"/>
      <c r="AN8" s="73">
        <f>AI8</f>
        <v>395893.79999999993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415">
        <f aca="true" t="shared" si="2" ref="J9:J17">SUM(D9+G9)</f>
        <v>923640.6</v>
      </c>
      <c r="K9" s="358"/>
      <c r="L9" s="416"/>
      <c r="M9" s="67">
        <f>SUM($J$8:L9)</f>
        <v>1847281.2</v>
      </c>
      <c r="N9" s="360">
        <f aca="true" t="shared" si="3" ref="N9:N17">$N$8*$B9</f>
        <v>5520</v>
      </c>
      <c r="O9" s="325"/>
      <c r="P9" s="325"/>
      <c r="Q9" s="325">
        <f aca="true" t="shared" si="4" ref="Q9:Q17">$Q$8</f>
        <v>155794.8</v>
      </c>
      <c r="R9" s="325"/>
      <c r="S9" s="325"/>
      <c r="T9" s="325">
        <f t="shared" si="0"/>
        <v>371952</v>
      </c>
      <c r="U9" s="325"/>
      <c r="V9" s="326"/>
      <c r="W9" s="415">
        <f aca="true" t="shared" si="5" ref="W9:W17">SUM(Q9+T9)</f>
        <v>527746.8</v>
      </c>
      <c r="X9" s="358"/>
      <c r="Y9" s="416"/>
      <c r="Z9" s="74">
        <f>SUM($W$8:Y9)</f>
        <v>1055493.6</v>
      </c>
      <c r="AA9" s="360">
        <f aca="true" t="shared" si="6" ref="AA9:AA17">$AA$8*$B9</f>
        <v>5520</v>
      </c>
      <c r="AB9" s="325"/>
      <c r="AC9" s="325"/>
      <c r="AD9" s="333">
        <f t="shared" si="1"/>
        <v>395893.79999999993</v>
      </c>
      <c r="AE9" s="333"/>
      <c r="AF9" s="333"/>
      <c r="AG9" s="333"/>
      <c r="AH9" s="334"/>
      <c r="AI9" s="417">
        <f>SUM($AD$8:AD9)</f>
        <v>791787.5999999999</v>
      </c>
      <c r="AJ9" s="336"/>
      <c r="AK9" s="336"/>
      <c r="AL9" s="336"/>
      <c r="AM9" s="418"/>
      <c r="AN9" s="73">
        <f aca="true" t="shared" si="7" ref="AN9:AN17">AI9</f>
        <v>791787.5999999999</v>
      </c>
    </row>
    <row r="10" spans="2:40" ht="13.5" customHeight="1">
      <c r="B10" s="379">
        <v>3</v>
      </c>
      <c r="C10" s="380"/>
      <c r="D10" s="325">
        <f aca="true" t="shared" si="8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415">
        <f t="shared" si="2"/>
        <v>923640.6</v>
      </c>
      <c r="K10" s="358"/>
      <c r="L10" s="416"/>
      <c r="M10" s="67">
        <f>SUM($J$8:L10)</f>
        <v>2770921.8</v>
      </c>
      <c r="N10" s="360">
        <f t="shared" si="3"/>
        <v>8280</v>
      </c>
      <c r="O10" s="325"/>
      <c r="P10" s="325"/>
      <c r="Q10" s="325">
        <f t="shared" si="4"/>
        <v>155794.8</v>
      </c>
      <c r="R10" s="325"/>
      <c r="S10" s="325"/>
      <c r="T10" s="325">
        <f t="shared" si="0"/>
        <v>371952</v>
      </c>
      <c r="U10" s="325"/>
      <c r="V10" s="326"/>
      <c r="W10" s="415">
        <f t="shared" si="5"/>
        <v>527746.8</v>
      </c>
      <c r="X10" s="358"/>
      <c r="Y10" s="416"/>
      <c r="Z10" s="74">
        <f>SUM($W$8:Y10)</f>
        <v>1583240.4000000001</v>
      </c>
      <c r="AA10" s="360">
        <f t="shared" si="6"/>
        <v>8280</v>
      </c>
      <c r="AB10" s="325"/>
      <c r="AC10" s="325"/>
      <c r="AD10" s="333">
        <f t="shared" si="1"/>
        <v>395893.79999999993</v>
      </c>
      <c r="AE10" s="333"/>
      <c r="AF10" s="333"/>
      <c r="AG10" s="333"/>
      <c r="AH10" s="334"/>
      <c r="AI10" s="417">
        <f>SUM($AD$8:AD10)</f>
        <v>1187681.4</v>
      </c>
      <c r="AJ10" s="336"/>
      <c r="AK10" s="336"/>
      <c r="AL10" s="336"/>
      <c r="AM10" s="418"/>
      <c r="AN10" s="73">
        <f t="shared" si="7"/>
        <v>1187681.4</v>
      </c>
    </row>
    <row r="11" spans="2:40" ht="13.5" customHeight="1">
      <c r="B11" s="379">
        <v>4</v>
      </c>
      <c r="C11" s="380"/>
      <c r="D11" s="325">
        <f t="shared" si="8"/>
        <v>923640.6</v>
      </c>
      <c r="E11" s="325"/>
      <c r="F11" s="325"/>
      <c r="G11" s="325">
        <f>シミュレーションデータ!AC27</f>
        <v>0</v>
      </c>
      <c r="H11" s="325"/>
      <c r="I11" s="326"/>
      <c r="J11" s="415">
        <f t="shared" si="2"/>
        <v>923640.6</v>
      </c>
      <c r="K11" s="358"/>
      <c r="L11" s="416"/>
      <c r="M11" s="67">
        <f>SUM($J$8:L11)</f>
        <v>3694562.4</v>
      </c>
      <c r="N11" s="360">
        <f t="shared" si="3"/>
        <v>11040</v>
      </c>
      <c r="O11" s="325"/>
      <c r="P11" s="325"/>
      <c r="Q11" s="325">
        <f t="shared" si="4"/>
        <v>155794.8</v>
      </c>
      <c r="R11" s="325"/>
      <c r="S11" s="325"/>
      <c r="T11" s="325">
        <f t="shared" si="0"/>
        <v>371952</v>
      </c>
      <c r="U11" s="325"/>
      <c r="V11" s="326"/>
      <c r="W11" s="415">
        <f t="shared" si="5"/>
        <v>527746.8</v>
      </c>
      <c r="X11" s="358"/>
      <c r="Y11" s="416"/>
      <c r="Z11" s="70">
        <f>SUM($W$8:Y11)</f>
        <v>2110987.2</v>
      </c>
      <c r="AA11" s="360">
        <f t="shared" si="6"/>
        <v>11040</v>
      </c>
      <c r="AB11" s="325"/>
      <c r="AC11" s="325"/>
      <c r="AD11" s="333">
        <f t="shared" si="1"/>
        <v>395893.79999999993</v>
      </c>
      <c r="AE11" s="333"/>
      <c r="AF11" s="333"/>
      <c r="AG11" s="333"/>
      <c r="AH11" s="334"/>
      <c r="AI11" s="417">
        <f>SUM($AD$8:AD11)</f>
        <v>1583575.1999999997</v>
      </c>
      <c r="AJ11" s="336"/>
      <c r="AK11" s="336"/>
      <c r="AL11" s="336"/>
      <c r="AM11" s="418"/>
      <c r="AN11" s="73">
        <f t="shared" si="7"/>
        <v>1583575.1999999997</v>
      </c>
    </row>
    <row r="12" spans="2:40" ht="13.5" customHeight="1">
      <c r="B12" s="379">
        <v>5</v>
      </c>
      <c r="C12" s="380"/>
      <c r="D12" s="325">
        <f t="shared" si="8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415">
        <f t="shared" si="2"/>
        <v>1183640.6</v>
      </c>
      <c r="K12" s="358"/>
      <c r="L12" s="416"/>
      <c r="M12" s="67">
        <f>SUM($J$8:L12)</f>
        <v>4878203</v>
      </c>
      <c r="N12" s="360">
        <f t="shared" si="3"/>
        <v>13800</v>
      </c>
      <c r="O12" s="325"/>
      <c r="P12" s="325"/>
      <c r="Q12" s="325">
        <f t="shared" si="4"/>
        <v>155794.8</v>
      </c>
      <c r="R12" s="325"/>
      <c r="S12" s="325"/>
      <c r="T12" s="325">
        <f t="shared" si="0"/>
        <v>371952</v>
      </c>
      <c r="U12" s="325"/>
      <c r="V12" s="326"/>
      <c r="W12" s="415">
        <f t="shared" si="5"/>
        <v>527746.8</v>
      </c>
      <c r="X12" s="358"/>
      <c r="Y12" s="416"/>
      <c r="Z12" s="75">
        <f>SUM($W$8:Y12)</f>
        <v>2638734</v>
      </c>
      <c r="AA12" s="360">
        <f t="shared" si="6"/>
        <v>13800</v>
      </c>
      <c r="AB12" s="325"/>
      <c r="AC12" s="325"/>
      <c r="AD12" s="333">
        <f t="shared" si="1"/>
        <v>655893.8</v>
      </c>
      <c r="AE12" s="333"/>
      <c r="AF12" s="333"/>
      <c r="AG12" s="333"/>
      <c r="AH12" s="334"/>
      <c r="AI12" s="417">
        <f>SUM($AD$8:AD12)</f>
        <v>2239469</v>
      </c>
      <c r="AJ12" s="336"/>
      <c r="AK12" s="336"/>
      <c r="AL12" s="336"/>
      <c r="AM12" s="418"/>
      <c r="AN12" s="73">
        <f t="shared" si="7"/>
        <v>2239469</v>
      </c>
    </row>
    <row r="13" spans="2:40" ht="13.5" customHeight="1">
      <c r="B13" s="379">
        <v>6</v>
      </c>
      <c r="C13" s="380"/>
      <c r="D13" s="325">
        <f t="shared" si="8"/>
        <v>923640.6</v>
      </c>
      <c r="E13" s="325"/>
      <c r="F13" s="325"/>
      <c r="G13" s="325">
        <f>シミュレーションデータ!AK27</f>
        <v>0</v>
      </c>
      <c r="H13" s="325"/>
      <c r="I13" s="326"/>
      <c r="J13" s="415">
        <f t="shared" si="2"/>
        <v>923640.6</v>
      </c>
      <c r="K13" s="358"/>
      <c r="L13" s="416"/>
      <c r="M13" s="67">
        <f>SUM($J$8:L13)</f>
        <v>5801843.6</v>
      </c>
      <c r="N13" s="360">
        <f t="shared" si="3"/>
        <v>16560</v>
      </c>
      <c r="O13" s="325"/>
      <c r="P13" s="325"/>
      <c r="Q13" s="325">
        <f t="shared" si="4"/>
        <v>155794.8</v>
      </c>
      <c r="R13" s="325"/>
      <c r="S13" s="325"/>
      <c r="T13" s="325">
        <f t="shared" si="0"/>
        <v>371952</v>
      </c>
      <c r="U13" s="325"/>
      <c r="V13" s="326"/>
      <c r="W13" s="415">
        <f t="shared" si="5"/>
        <v>527746.8</v>
      </c>
      <c r="X13" s="358"/>
      <c r="Y13" s="416"/>
      <c r="Z13" s="75">
        <f>SUM($W$8:Y13)</f>
        <v>3166480.8</v>
      </c>
      <c r="AA13" s="360">
        <f t="shared" si="6"/>
        <v>16560</v>
      </c>
      <c r="AB13" s="325"/>
      <c r="AC13" s="325"/>
      <c r="AD13" s="333">
        <f t="shared" si="1"/>
        <v>395893.79999999993</v>
      </c>
      <c r="AE13" s="333"/>
      <c r="AF13" s="333"/>
      <c r="AG13" s="333"/>
      <c r="AH13" s="334"/>
      <c r="AI13" s="417">
        <f>SUM($AD$8:AD13)</f>
        <v>2635362.8</v>
      </c>
      <c r="AJ13" s="336"/>
      <c r="AK13" s="336"/>
      <c r="AL13" s="336"/>
      <c r="AM13" s="418"/>
      <c r="AN13" s="73">
        <f t="shared" si="7"/>
        <v>2635362.8</v>
      </c>
    </row>
    <row r="14" spans="2:40" ht="13.5" customHeight="1">
      <c r="B14" s="379">
        <v>7</v>
      </c>
      <c r="C14" s="380"/>
      <c r="D14" s="325">
        <f t="shared" si="8"/>
        <v>923640.6</v>
      </c>
      <c r="E14" s="325"/>
      <c r="F14" s="325"/>
      <c r="G14" s="325">
        <f>シミュレーションデータ!AO27</f>
        <v>0</v>
      </c>
      <c r="H14" s="325"/>
      <c r="I14" s="326"/>
      <c r="J14" s="415">
        <f t="shared" si="2"/>
        <v>923640.6</v>
      </c>
      <c r="K14" s="358"/>
      <c r="L14" s="416"/>
      <c r="M14" s="67">
        <f>SUM($J$8:L14)</f>
        <v>6725484.199999999</v>
      </c>
      <c r="N14" s="360">
        <f t="shared" si="3"/>
        <v>19320</v>
      </c>
      <c r="O14" s="325"/>
      <c r="P14" s="325"/>
      <c r="Q14" s="325">
        <f t="shared" si="4"/>
        <v>155794.8</v>
      </c>
      <c r="R14" s="325"/>
      <c r="S14" s="325"/>
      <c r="T14" s="325">
        <f t="shared" si="0"/>
        <v>371952</v>
      </c>
      <c r="U14" s="325"/>
      <c r="V14" s="326"/>
      <c r="W14" s="415">
        <f t="shared" si="5"/>
        <v>527746.8</v>
      </c>
      <c r="X14" s="358"/>
      <c r="Y14" s="416"/>
      <c r="Z14" s="74">
        <f>SUM($W$8:Y14)</f>
        <v>3694227.5999999996</v>
      </c>
      <c r="AA14" s="360">
        <f t="shared" si="6"/>
        <v>19320</v>
      </c>
      <c r="AB14" s="325"/>
      <c r="AC14" s="325"/>
      <c r="AD14" s="333">
        <f t="shared" si="1"/>
        <v>395893.79999999993</v>
      </c>
      <c r="AE14" s="333"/>
      <c r="AF14" s="333"/>
      <c r="AG14" s="333"/>
      <c r="AH14" s="334"/>
      <c r="AI14" s="417">
        <f>SUM($AD$8:AD14)</f>
        <v>3031256.5999999996</v>
      </c>
      <c r="AJ14" s="336"/>
      <c r="AK14" s="336"/>
      <c r="AL14" s="336"/>
      <c r="AM14" s="418"/>
      <c r="AN14" s="73">
        <f t="shared" si="7"/>
        <v>3031256.5999999996</v>
      </c>
    </row>
    <row r="15" spans="2:40" ht="13.5" customHeight="1">
      <c r="B15" s="379">
        <v>8</v>
      </c>
      <c r="C15" s="380"/>
      <c r="D15" s="325">
        <f t="shared" si="8"/>
        <v>923640.6</v>
      </c>
      <c r="E15" s="325"/>
      <c r="F15" s="325"/>
      <c r="G15" s="325">
        <f>シミュレーションデータ!AS27</f>
        <v>0</v>
      </c>
      <c r="H15" s="325"/>
      <c r="I15" s="326"/>
      <c r="J15" s="415">
        <f t="shared" si="2"/>
        <v>923640.6</v>
      </c>
      <c r="K15" s="358"/>
      <c r="L15" s="416"/>
      <c r="M15" s="67">
        <f>SUM($J$8:L15)</f>
        <v>7649124.799999999</v>
      </c>
      <c r="N15" s="360">
        <f t="shared" si="3"/>
        <v>22080</v>
      </c>
      <c r="O15" s="325"/>
      <c r="P15" s="325"/>
      <c r="Q15" s="325">
        <f t="shared" si="4"/>
        <v>155794.8</v>
      </c>
      <c r="R15" s="325"/>
      <c r="S15" s="325"/>
      <c r="T15" s="325">
        <f t="shared" si="0"/>
        <v>371952</v>
      </c>
      <c r="U15" s="325"/>
      <c r="V15" s="326"/>
      <c r="W15" s="415">
        <f t="shared" si="5"/>
        <v>527746.8</v>
      </c>
      <c r="X15" s="358"/>
      <c r="Y15" s="416"/>
      <c r="Z15" s="70">
        <f>SUM($W$8:Y15)</f>
        <v>4221974.399999999</v>
      </c>
      <c r="AA15" s="360">
        <f t="shared" si="6"/>
        <v>22080</v>
      </c>
      <c r="AB15" s="325"/>
      <c r="AC15" s="325"/>
      <c r="AD15" s="333">
        <f t="shared" si="1"/>
        <v>395893.79999999993</v>
      </c>
      <c r="AE15" s="333"/>
      <c r="AF15" s="333"/>
      <c r="AG15" s="333"/>
      <c r="AH15" s="334"/>
      <c r="AI15" s="417">
        <f>SUM($AD$8:AD15)</f>
        <v>3427150.3999999994</v>
      </c>
      <c r="AJ15" s="336"/>
      <c r="AK15" s="336"/>
      <c r="AL15" s="336"/>
      <c r="AM15" s="418"/>
      <c r="AN15" s="73">
        <f t="shared" si="7"/>
        <v>3427150.3999999994</v>
      </c>
    </row>
    <row r="16" spans="2:40" ht="13.5" customHeight="1">
      <c r="B16" s="379">
        <v>9</v>
      </c>
      <c r="C16" s="380"/>
      <c r="D16" s="325">
        <f t="shared" si="8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415">
        <f t="shared" si="2"/>
        <v>1183640.6</v>
      </c>
      <c r="K16" s="358"/>
      <c r="L16" s="416"/>
      <c r="M16" s="67">
        <f>SUM($J$8:L16)</f>
        <v>8832765.399999999</v>
      </c>
      <c r="N16" s="360">
        <f t="shared" si="3"/>
        <v>24840</v>
      </c>
      <c r="O16" s="325"/>
      <c r="P16" s="325"/>
      <c r="Q16" s="325">
        <f t="shared" si="4"/>
        <v>155794.8</v>
      </c>
      <c r="R16" s="325"/>
      <c r="S16" s="325"/>
      <c r="T16" s="325">
        <f t="shared" si="0"/>
        <v>371952</v>
      </c>
      <c r="U16" s="325"/>
      <c r="V16" s="326"/>
      <c r="W16" s="415">
        <f t="shared" si="5"/>
        <v>527746.8</v>
      </c>
      <c r="X16" s="358"/>
      <c r="Y16" s="416"/>
      <c r="Z16" s="75">
        <f>SUM($W$8:Y16)</f>
        <v>4749721.199999999</v>
      </c>
      <c r="AA16" s="360">
        <f t="shared" si="6"/>
        <v>24840</v>
      </c>
      <c r="AB16" s="325"/>
      <c r="AC16" s="325"/>
      <c r="AD16" s="333">
        <f t="shared" si="1"/>
        <v>655893.8</v>
      </c>
      <c r="AE16" s="333"/>
      <c r="AF16" s="333"/>
      <c r="AG16" s="333"/>
      <c r="AH16" s="334"/>
      <c r="AI16" s="417">
        <f>SUM($AD$8:AD16)</f>
        <v>4083044.1999999993</v>
      </c>
      <c r="AJ16" s="336"/>
      <c r="AK16" s="336"/>
      <c r="AL16" s="336"/>
      <c r="AM16" s="418"/>
      <c r="AN16" s="73">
        <f t="shared" si="7"/>
        <v>4083044.1999999993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415">
        <f t="shared" si="2"/>
        <v>923640.6</v>
      </c>
      <c r="K17" s="358"/>
      <c r="L17" s="416"/>
      <c r="M17" s="67">
        <f>SUM($J$8:L17)</f>
        <v>9756405.999999998</v>
      </c>
      <c r="N17" s="360">
        <f t="shared" si="3"/>
        <v>27600</v>
      </c>
      <c r="O17" s="325"/>
      <c r="P17" s="325"/>
      <c r="Q17" s="325">
        <f t="shared" si="4"/>
        <v>155794.8</v>
      </c>
      <c r="R17" s="325"/>
      <c r="S17" s="325"/>
      <c r="T17" s="325">
        <f>SUM($Q$4*12/10)</f>
        <v>37195.2</v>
      </c>
      <c r="U17" s="325"/>
      <c r="V17" s="326"/>
      <c r="W17" s="415">
        <f t="shared" si="5"/>
        <v>192990</v>
      </c>
      <c r="X17" s="358"/>
      <c r="Y17" s="416"/>
      <c r="Z17" s="76">
        <f>SUM($W$8:Y17)</f>
        <v>4942711.199999999</v>
      </c>
      <c r="AA17" s="360">
        <f t="shared" si="6"/>
        <v>27600</v>
      </c>
      <c r="AB17" s="325"/>
      <c r="AC17" s="325"/>
      <c r="AD17" s="333">
        <f t="shared" si="1"/>
        <v>730650.6</v>
      </c>
      <c r="AE17" s="333"/>
      <c r="AF17" s="333"/>
      <c r="AG17" s="333"/>
      <c r="AH17" s="334"/>
      <c r="AI17" s="417">
        <f>SUM($AD$8:AD17)</f>
        <v>4813694.799999999</v>
      </c>
      <c r="AJ17" s="336"/>
      <c r="AK17" s="336"/>
      <c r="AL17" s="336"/>
      <c r="AM17" s="418"/>
      <c r="AN17" s="73">
        <f t="shared" si="7"/>
        <v>4813694.799999999</v>
      </c>
    </row>
    <row r="18" spans="2:39" ht="25.5" customHeight="1">
      <c r="B18" s="403" t="s">
        <v>96</v>
      </c>
      <c r="C18" s="404"/>
      <c r="D18" s="345">
        <f>SUM(D8:F16)</f>
        <v>8312765.3999999985</v>
      </c>
      <c r="E18" s="356"/>
      <c r="F18" s="356"/>
      <c r="G18" s="345">
        <f>SUM(G8:I16)</f>
        <v>520000</v>
      </c>
      <c r="H18" s="356"/>
      <c r="I18" s="388"/>
      <c r="J18" s="411">
        <f>SUM(J8:L16)</f>
        <v>8832765.399999999</v>
      </c>
      <c r="K18" s="356"/>
      <c r="L18" s="412"/>
      <c r="M18" s="64"/>
      <c r="N18" s="355">
        <f>N16</f>
        <v>24840</v>
      </c>
      <c r="O18" s="356"/>
      <c r="P18" s="356"/>
      <c r="Q18" s="355">
        <f>SUM(Q8:S16)</f>
        <v>1402153.2000000002</v>
      </c>
      <c r="R18" s="356"/>
      <c r="S18" s="356"/>
      <c r="T18" s="355">
        <f>SUM(T8:V16)</f>
        <v>3347568</v>
      </c>
      <c r="U18" s="356"/>
      <c r="V18" s="388"/>
      <c r="W18" s="411">
        <f>SUM(W8:Y16)</f>
        <v>4749721.199999999</v>
      </c>
      <c r="X18" s="356"/>
      <c r="Y18" s="412"/>
      <c r="Z18" s="64"/>
      <c r="AA18" s="355">
        <f>AA16</f>
        <v>24840</v>
      </c>
      <c r="AB18" s="356"/>
      <c r="AC18" s="356"/>
      <c r="AD18" s="345">
        <f>SUM(AD8:AH16)</f>
        <v>4083044.1999999993</v>
      </c>
      <c r="AE18" s="345"/>
      <c r="AF18" s="345"/>
      <c r="AG18" s="345"/>
      <c r="AH18" s="346"/>
      <c r="AI18" s="413">
        <f>AI16</f>
        <v>4083044.1999999993</v>
      </c>
      <c r="AJ18" s="345"/>
      <c r="AK18" s="345"/>
      <c r="AL18" s="345"/>
      <c r="AM18" s="414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405">
        <f>SUM(J8:L17)</f>
        <v>9756405.999999998</v>
      </c>
      <c r="K19" s="406"/>
      <c r="L19" s="407"/>
      <c r="M19" s="65"/>
      <c r="N19" s="363">
        <f>N17</f>
        <v>27600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3384763.2</v>
      </c>
      <c r="U19" s="364"/>
      <c r="V19" s="391"/>
      <c r="W19" s="405">
        <f>SUM(W8:Y17)</f>
        <v>4942711.199999999</v>
      </c>
      <c r="X19" s="406"/>
      <c r="Y19" s="407"/>
      <c r="Z19" s="65"/>
      <c r="AA19" s="363">
        <f>AA17</f>
        <v>27600</v>
      </c>
      <c r="AB19" s="364"/>
      <c r="AC19" s="364"/>
      <c r="AD19" s="361">
        <f>SUM(AD8:AH17)</f>
        <v>4813694.799999999</v>
      </c>
      <c r="AE19" s="361"/>
      <c r="AF19" s="361"/>
      <c r="AG19" s="361"/>
      <c r="AH19" s="362"/>
      <c r="AI19" s="408">
        <f>AI17</f>
        <v>4813694.799999999</v>
      </c>
      <c r="AJ19" s="409"/>
      <c r="AK19" s="409"/>
      <c r="AL19" s="409"/>
      <c r="AM19" s="410"/>
    </row>
    <row r="21" spans="2:39" ht="12.75">
      <c r="B21" s="395" t="s">
        <v>97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98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1:AM1"/>
    <mergeCell ref="B3:C3"/>
    <mergeCell ref="D3:F3"/>
    <mergeCell ref="G3:I3"/>
    <mergeCell ref="J3:L3"/>
    <mergeCell ref="N3:P3"/>
    <mergeCell ref="Q3:S3"/>
    <mergeCell ref="T3:V3"/>
    <mergeCell ref="W3:Y3"/>
    <mergeCell ref="AA3:AC3"/>
    <mergeCell ref="B7:C7"/>
    <mergeCell ref="D7:F7"/>
    <mergeCell ref="G7:I7"/>
    <mergeCell ref="J7:L7"/>
    <mergeCell ref="N7:P7"/>
    <mergeCell ref="AD3:AF3"/>
    <mergeCell ref="Q7:S7"/>
    <mergeCell ref="T7:V7"/>
    <mergeCell ref="W7:Y7"/>
    <mergeCell ref="AA7:AC7"/>
    <mergeCell ref="AG3:AI3"/>
    <mergeCell ref="AJ3:AM3"/>
    <mergeCell ref="B4:C4"/>
    <mergeCell ref="D4:F4"/>
    <mergeCell ref="G4:I4"/>
    <mergeCell ref="J4:L4"/>
    <mergeCell ref="N4:P4"/>
    <mergeCell ref="Q4:S4"/>
    <mergeCell ref="T4:V4"/>
    <mergeCell ref="AD7:AH7"/>
    <mergeCell ref="AI7:AM7"/>
    <mergeCell ref="W4:Y4"/>
    <mergeCell ref="AA4:AC4"/>
    <mergeCell ref="AD4:AF4"/>
    <mergeCell ref="AG4:AI4"/>
    <mergeCell ref="AJ4:AM4"/>
    <mergeCell ref="B9:C9"/>
    <mergeCell ref="D9:F9"/>
    <mergeCell ref="G9:I9"/>
    <mergeCell ref="J9:L9"/>
    <mergeCell ref="N9:P9"/>
    <mergeCell ref="B8:C8"/>
    <mergeCell ref="D8:F8"/>
    <mergeCell ref="G8:I8"/>
    <mergeCell ref="J8:L8"/>
    <mergeCell ref="N8:P8"/>
    <mergeCell ref="Q9:S9"/>
    <mergeCell ref="T9:V9"/>
    <mergeCell ref="W9:Y9"/>
    <mergeCell ref="AA9:AC9"/>
    <mergeCell ref="AD9:AH9"/>
    <mergeCell ref="AI9:AM9"/>
    <mergeCell ref="T8:V8"/>
    <mergeCell ref="W8:Y8"/>
    <mergeCell ref="AA8:AC8"/>
    <mergeCell ref="AD8:AH8"/>
    <mergeCell ref="AI8:AM8"/>
    <mergeCell ref="Q8:S8"/>
    <mergeCell ref="B11:C11"/>
    <mergeCell ref="D11:F11"/>
    <mergeCell ref="G11:I11"/>
    <mergeCell ref="J11:L11"/>
    <mergeCell ref="N11:P11"/>
    <mergeCell ref="B10:C10"/>
    <mergeCell ref="D10:F10"/>
    <mergeCell ref="G10:I10"/>
    <mergeCell ref="J10:L10"/>
    <mergeCell ref="N10:P10"/>
    <mergeCell ref="Q11:S11"/>
    <mergeCell ref="T11:V11"/>
    <mergeCell ref="W11:Y11"/>
    <mergeCell ref="AA11:AC11"/>
    <mergeCell ref="AD11:AH11"/>
    <mergeCell ref="AI11:AM11"/>
    <mergeCell ref="T10:V10"/>
    <mergeCell ref="W10:Y10"/>
    <mergeCell ref="AA10:AC10"/>
    <mergeCell ref="AD10:AH10"/>
    <mergeCell ref="AI10:AM10"/>
    <mergeCell ref="Q10:S10"/>
    <mergeCell ref="B13:C13"/>
    <mergeCell ref="D13:F13"/>
    <mergeCell ref="G13:I13"/>
    <mergeCell ref="J13:L13"/>
    <mergeCell ref="N13:P13"/>
    <mergeCell ref="B12:C12"/>
    <mergeCell ref="D12:F12"/>
    <mergeCell ref="G12:I12"/>
    <mergeCell ref="J12:L12"/>
    <mergeCell ref="N12:P12"/>
    <mergeCell ref="Q13:S13"/>
    <mergeCell ref="T13:V13"/>
    <mergeCell ref="W13:Y13"/>
    <mergeCell ref="AA13:AC13"/>
    <mergeCell ref="AD13:AH13"/>
    <mergeCell ref="AI13:AM13"/>
    <mergeCell ref="T12:V12"/>
    <mergeCell ref="W12:Y12"/>
    <mergeCell ref="AA12:AC12"/>
    <mergeCell ref="AD12:AH12"/>
    <mergeCell ref="AI12:AM12"/>
    <mergeCell ref="Q12:S12"/>
    <mergeCell ref="B15:C15"/>
    <mergeCell ref="D15:F15"/>
    <mergeCell ref="G15:I15"/>
    <mergeCell ref="J15:L15"/>
    <mergeCell ref="N15:P15"/>
    <mergeCell ref="B14:C14"/>
    <mergeCell ref="D14:F14"/>
    <mergeCell ref="G14:I14"/>
    <mergeCell ref="J14:L14"/>
    <mergeCell ref="N14:P14"/>
    <mergeCell ref="Q15:S15"/>
    <mergeCell ref="T15:V15"/>
    <mergeCell ref="W15:Y15"/>
    <mergeCell ref="AA15:AC15"/>
    <mergeCell ref="AD15:AH15"/>
    <mergeCell ref="AI15:AM15"/>
    <mergeCell ref="T14:V14"/>
    <mergeCell ref="W14:Y14"/>
    <mergeCell ref="AA14:AC14"/>
    <mergeCell ref="AD14:AH14"/>
    <mergeCell ref="AI14:AM14"/>
    <mergeCell ref="Q14:S14"/>
    <mergeCell ref="B17:C17"/>
    <mergeCell ref="D17:F17"/>
    <mergeCell ref="G17:I17"/>
    <mergeCell ref="J17:L17"/>
    <mergeCell ref="N17:P17"/>
    <mergeCell ref="B16:C16"/>
    <mergeCell ref="D16:F16"/>
    <mergeCell ref="G16:I16"/>
    <mergeCell ref="J16:L16"/>
    <mergeCell ref="N16:P16"/>
    <mergeCell ref="Q17:S17"/>
    <mergeCell ref="T17:V17"/>
    <mergeCell ref="W17:Y17"/>
    <mergeCell ref="AA17:AC17"/>
    <mergeCell ref="AD17:AH17"/>
    <mergeCell ref="AI17:AM17"/>
    <mergeCell ref="T16:V16"/>
    <mergeCell ref="W16:Y16"/>
    <mergeCell ref="AA16:AC16"/>
    <mergeCell ref="AD16:AH16"/>
    <mergeCell ref="AI16:AM16"/>
    <mergeCell ref="Q16:S16"/>
    <mergeCell ref="T18:V18"/>
    <mergeCell ref="W18:Y18"/>
    <mergeCell ref="AA18:AC18"/>
    <mergeCell ref="AD18:AH18"/>
    <mergeCell ref="AI18:AM18"/>
    <mergeCell ref="B19:C19"/>
    <mergeCell ref="D19:F19"/>
    <mergeCell ref="G19:I19"/>
    <mergeCell ref="J19:L19"/>
    <mergeCell ref="N19:P19"/>
    <mergeCell ref="B18:C18"/>
    <mergeCell ref="D18:F18"/>
    <mergeCell ref="G18:I18"/>
    <mergeCell ref="J18:L18"/>
    <mergeCell ref="N18:P18"/>
    <mergeCell ref="Q18:S18"/>
    <mergeCell ref="B21:AM21"/>
    <mergeCell ref="B22:AM22"/>
    <mergeCell ref="B23:AM23"/>
    <mergeCell ref="Q19:S19"/>
    <mergeCell ref="T19:V19"/>
    <mergeCell ref="W19:Y19"/>
    <mergeCell ref="AA19:AC19"/>
    <mergeCell ref="AD19:AH19"/>
    <mergeCell ref="AI19:AM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豊興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豊興</dc:creator>
  <cp:keywords/>
  <dc:description/>
  <cp:lastModifiedBy>junkawashima</cp:lastModifiedBy>
  <cp:lastPrinted>2019-10-12T08:33:53Z</cp:lastPrinted>
  <dcterms:created xsi:type="dcterms:W3CDTF">2012-06-13T01:50:16Z</dcterms:created>
  <dcterms:modified xsi:type="dcterms:W3CDTF">2019-10-12T08:34:10Z</dcterms:modified>
  <cp:category/>
  <cp:version/>
  <cp:contentType/>
  <cp:contentStatus/>
</cp:coreProperties>
</file>